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AEP SPP Trans Formula Rates PSO SWE OKT SWT\2019 Annual Update\Transco_OKTCo_SWTCo\Filing 5-25-19 Transcos\"/>
    </mc:Choice>
  </mc:AlternateContent>
  <bookViews>
    <workbookView xWindow="105" yWindow="15" windowWidth="24240" windowHeight="6570"/>
  </bookViews>
  <sheets>
    <sheet name="Refund By Load" sheetId="19" r:id="rId1"/>
    <sheet name="Refund Calculation" sheetId="10" r:id="rId2"/>
    <sheet name="Interest" sheetId="12" r:id="rId3"/>
    <sheet name="Prime Rate" sheetId="11" r:id="rId4"/>
    <sheet name="OKT 2013 True-Up TCOS" sheetId="13" r:id="rId5"/>
    <sheet name="OKT 2014 True-Up TCOS" sheetId="14" r:id="rId6"/>
    <sheet name="OKT 2015 True-Up TCOS" sheetId="15" r:id="rId7"/>
    <sheet name="OKT 2016 True-Up TCOS" sheetId="16" r:id="rId8"/>
    <sheet name="OKT 2017 True-Up TCOS - 11.2%" sheetId="17" r:id="rId9"/>
    <sheet name="OKT 2017 True-Up TCOS - 10.5%" sheetId="18" r:id="rId10"/>
  </sheets>
  <externalReferences>
    <externalReference r:id="rId11"/>
    <externalReference r:id="rId12"/>
    <externalReference r:id="rId13"/>
    <externalReference r:id="rId14"/>
    <externalReference r:id="rId15"/>
    <externalReference r:id="rId16"/>
    <externalReference r:id="rId17"/>
  </externalReferences>
  <definedNames>
    <definedName name="_____NPh1" localSheetId="9">#REF!</definedName>
    <definedName name="_____NPh1">#REF!</definedName>
    <definedName name="____NPh1" localSheetId="9">#REF!</definedName>
    <definedName name="____NPh1">#REF!</definedName>
    <definedName name="___NPh1" localSheetId="9">#REF!</definedName>
    <definedName name="___NPh1">#REF!</definedName>
    <definedName name="__NPh1" localSheetId="9">#REF!</definedName>
    <definedName name="__NPh1">#REF!</definedName>
    <definedName name="_xlnm._FilterDatabase" localSheetId="3" hidden="1">'Prime Rate'!$A$1:$C$1165</definedName>
    <definedName name="_NPh1" localSheetId="9">#REF!</definedName>
    <definedName name="_NPh1">#REF!</definedName>
    <definedName name="ActExcessAmt" localSheetId="5">#REF!</definedName>
    <definedName name="ActExcessAmt" localSheetId="6">#REF!</definedName>
    <definedName name="ActExcessAmt" localSheetId="7">#REF!</definedName>
    <definedName name="ActExcessAmt" localSheetId="9">#REF!</definedName>
    <definedName name="ActExcessAmt" localSheetId="8">#REF!</definedName>
    <definedName name="ActExcessAmt">#REF!</definedName>
    <definedName name="ActGrTaxAmt" localSheetId="5">#REF!</definedName>
    <definedName name="ActGrTaxAmt" localSheetId="6">#REF!</definedName>
    <definedName name="ActGrTaxAmt" localSheetId="7">#REF!</definedName>
    <definedName name="ActGrTaxAmt" localSheetId="9">#REF!</definedName>
    <definedName name="ActGrTaxAmt" localSheetId="8">#REF!</definedName>
    <definedName name="ActGrTaxAmt">#REF!</definedName>
    <definedName name="ActKWHExcess" localSheetId="5">#REF!</definedName>
    <definedName name="ActKWHExcess" localSheetId="6">#REF!</definedName>
    <definedName name="ActKWHExcess" localSheetId="7">#REF!</definedName>
    <definedName name="ActKWHExcess" localSheetId="9">#REF!</definedName>
    <definedName name="ActKWHExcess" localSheetId="8">#REF!</definedName>
    <definedName name="ActKWHExcess">#REF!</definedName>
    <definedName name="ActKWHNotUsed" localSheetId="5">#REF!</definedName>
    <definedName name="ActKWHNotUsed" localSheetId="6">#REF!</definedName>
    <definedName name="ActKWHNotUsed" localSheetId="7">#REF!</definedName>
    <definedName name="ActKWHNotUsed" localSheetId="9">#REF!</definedName>
    <definedName name="ActKWHNotUsed" localSheetId="8">#REF!</definedName>
    <definedName name="ActKWHNotUsed">#REF!</definedName>
    <definedName name="ActKWHRes" localSheetId="5">#REF!</definedName>
    <definedName name="ActKWHRes" localSheetId="6">#REF!</definedName>
    <definedName name="ActKWHRes" localSheetId="7">#REF!</definedName>
    <definedName name="ActKWHRes" localSheetId="9">#REF!</definedName>
    <definedName name="ActKWHRes" localSheetId="8">#REF!</definedName>
    <definedName name="ActKWHRes">#REF!</definedName>
    <definedName name="ActKWHSubTot" localSheetId="5">#REF!</definedName>
    <definedName name="ActKWHSubTot" localSheetId="6">#REF!</definedName>
    <definedName name="ActKWHSubTot" localSheetId="7">#REF!</definedName>
    <definedName name="ActKWHSubTot" localSheetId="9">#REF!</definedName>
    <definedName name="ActKWHSubTot" localSheetId="8">#REF!</definedName>
    <definedName name="ActKWHSubTot">#REF!</definedName>
    <definedName name="ActKWHTot" localSheetId="5">#REF!</definedName>
    <definedName name="ActKWHTot" localSheetId="6">#REF!</definedName>
    <definedName name="ActKWHTot" localSheetId="7">#REF!</definedName>
    <definedName name="ActKWHTot" localSheetId="9">#REF!</definedName>
    <definedName name="ActKWHTot" localSheetId="8">#REF!</definedName>
    <definedName name="ActKWHTot">#REF!</definedName>
    <definedName name="ActNotUsedAmt" localSheetId="5">#REF!</definedName>
    <definedName name="ActNotUsedAmt" localSheetId="6">#REF!</definedName>
    <definedName name="ActNotUsedAmt" localSheetId="7">#REF!</definedName>
    <definedName name="ActNotUsedAmt" localSheetId="9">#REF!</definedName>
    <definedName name="ActNotUsedAmt" localSheetId="8">#REF!</definedName>
    <definedName name="ActNotUsedAmt">#REF!</definedName>
    <definedName name="ActResAmt" localSheetId="5">#REF!</definedName>
    <definedName name="ActResAmt" localSheetId="6">#REF!</definedName>
    <definedName name="ActResAmt" localSheetId="7">#REF!</definedName>
    <definedName name="ActResAmt" localSheetId="9">#REF!</definedName>
    <definedName name="ActResAmt" localSheetId="8">#REF!</definedName>
    <definedName name="ActResAmt">#REF!</definedName>
    <definedName name="ActSubTotAmt" localSheetId="5">#REF!</definedName>
    <definedName name="ActSubTotAmt" localSheetId="6">#REF!</definedName>
    <definedName name="ActSubTotAmt" localSheetId="7">#REF!</definedName>
    <definedName name="ActSubTotAmt" localSheetId="9">#REF!</definedName>
    <definedName name="ActSubTotAmt" localSheetId="8">#REF!</definedName>
    <definedName name="ActSubTotAmt">#REF!</definedName>
    <definedName name="ActTotAmt" localSheetId="5">#REF!</definedName>
    <definedName name="ActTotAmt" localSheetId="6">#REF!</definedName>
    <definedName name="ActTotAmt" localSheetId="7">#REF!</definedName>
    <definedName name="ActTotAmt" localSheetId="9">#REF!</definedName>
    <definedName name="ActTotAmt" localSheetId="8">#REF!</definedName>
    <definedName name="ActTotAmt">#REF!</definedName>
    <definedName name="AdminChg" localSheetId="5">#REF!</definedName>
    <definedName name="AdminChg" localSheetId="6">#REF!</definedName>
    <definedName name="AdminChg" localSheetId="7">#REF!</definedName>
    <definedName name="AdminChg" localSheetId="9">#REF!</definedName>
    <definedName name="AdminChg" localSheetId="8">#REF!</definedName>
    <definedName name="AdminChg">#REF!</definedName>
    <definedName name="AEP" localSheetId="5">#REF!</definedName>
    <definedName name="AEP" localSheetId="6">#REF!</definedName>
    <definedName name="AEP" localSheetId="7">#REF!</definedName>
    <definedName name="AEP" localSheetId="9">#REF!</definedName>
    <definedName name="AEP" localSheetId="8">#REF!</definedName>
    <definedName name="AEP">#REF!</definedName>
    <definedName name="allocator" localSheetId="5">#REF!</definedName>
    <definedName name="allocator" localSheetId="6">#REF!</definedName>
    <definedName name="allocator" localSheetId="7">#REF!</definedName>
    <definedName name="allocator" localSheetId="9">#REF!</definedName>
    <definedName name="allocator" localSheetId="8">#REF!</definedName>
    <definedName name="allocator">#REF!</definedName>
    <definedName name="allocators" localSheetId="5">#REF!</definedName>
    <definedName name="allocators" localSheetId="6">#REF!</definedName>
    <definedName name="allocators" localSheetId="7">#REF!</definedName>
    <definedName name="allocators" localSheetId="9">#REF!</definedName>
    <definedName name="allocators" localSheetId="8">#REF!</definedName>
    <definedName name="allocators">#REF!</definedName>
    <definedName name="allocatorsSWP" localSheetId="5">#REF!</definedName>
    <definedName name="allocatorsSWP" localSheetId="6">#REF!</definedName>
    <definedName name="allocatorsSWP" localSheetId="7">#REF!</definedName>
    <definedName name="allocatorsSWP" localSheetId="9">#REF!</definedName>
    <definedName name="allocatorsSWP" localSheetId="8">#REF!</definedName>
    <definedName name="allocatorsSWP">#REF!</definedName>
    <definedName name="allocatorSWP1">'[1]SWP TCOS 2008 13 Month'!$I$317:$J$328</definedName>
    <definedName name="APCO" localSheetId="5">#REF!</definedName>
    <definedName name="APCO" localSheetId="6">#REF!</definedName>
    <definedName name="APCO" localSheetId="7">#REF!</definedName>
    <definedName name="APCO" localSheetId="9">#REF!</definedName>
    <definedName name="APCO" localSheetId="8">#REF!</definedName>
    <definedName name="APCO">#REF!</definedName>
    <definedName name="AS1_1999" localSheetId="9">#REF!</definedName>
    <definedName name="AS1_1999" localSheetId="0">#REF!</definedName>
    <definedName name="AS1_1999">#REF!</definedName>
    <definedName name="Avg_Annual_FERC_Rate" localSheetId="0">#REF!</definedName>
    <definedName name="Avg_Annual_FERC_Rate">'Prime Rate'!$H$715:$I$1042</definedName>
    <definedName name="AVRGPWRFCTR" localSheetId="5">#REF!</definedName>
    <definedName name="AVRGPWRFCTR" localSheetId="6">#REF!</definedName>
    <definedName name="AVRGPWRFCTR" localSheetId="7">#REF!</definedName>
    <definedName name="AVRGPWRFCTR" localSheetId="9">#REF!</definedName>
    <definedName name="AVRGPWRFCTR" localSheetId="8">#REF!</definedName>
    <definedName name="AVRGPWRFCTR">#REF!</definedName>
    <definedName name="B1HRSCRMO" localSheetId="5">#REF!</definedName>
    <definedName name="B1HRSCRMO" localSheetId="6">#REF!</definedName>
    <definedName name="B1HRSCRMO" localSheetId="7">#REF!</definedName>
    <definedName name="B1HRSCRMO" localSheetId="9">#REF!</definedName>
    <definedName name="B1HRSCRMO" localSheetId="8">#REF!</definedName>
    <definedName name="B1HRSCRMO">#REF!</definedName>
    <definedName name="B2HRSCRMO" localSheetId="5">#REF!</definedName>
    <definedName name="B2HRSCRMO" localSheetId="6">#REF!</definedName>
    <definedName name="B2HRSCRMO" localSheetId="7">#REF!</definedName>
    <definedName name="B2HRSCRMO" localSheetId="9">#REF!</definedName>
    <definedName name="B2HRSCRMO" localSheetId="8">#REF!</definedName>
    <definedName name="B2HRSCRMO">#REF!</definedName>
    <definedName name="BASERATECHG" localSheetId="5">#REF!</definedName>
    <definedName name="BASERATECHG" localSheetId="6">#REF!</definedName>
    <definedName name="BASERATECHG" localSheetId="7">#REF!</definedName>
    <definedName name="BASERATECHG" localSheetId="9">#REF!</definedName>
    <definedName name="BASERATECHG" localSheetId="8">#REF!</definedName>
    <definedName name="BASERATECHG">#REF!</definedName>
    <definedName name="BILLKWH" localSheetId="5">#REF!</definedName>
    <definedName name="BILLKWH" localSheetId="6">#REF!</definedName>
    <definedName name="BILLKWH" localSheetId="7">#REF!</definedName>
    <definedName name="BILLKWH" localSheetId="9">#REF!</definedName>
    <definedName name="BILLKWH" localSheetId="8">#REF!</definedName>
    <definedName name="BILLKWH">#REF!</definedName>
    <definedName name="BIRPCCHG" localSheetId="5">#REF!</definedName>
    <definedName name="BIRPCCHG" localSheetId="6">#REF!</definedName>
    <definedName name="BIRPCCHG" localSheetId="7">#REF!</definedName>
    <definedName name="BIRPCCHG" localSheetId="9">#REF!</definedName>
    <definedName name="BIRPCCHG" localSheetId="8">#REF!</definedName>
    <definedName name="BIRPCCHG">#REF!</definedName>
    <definedName name="BIRPDCHG1" localSheetId="5">#REF!</definedName>
    <definedName name="BIRPDCHG1" localSheetId="6">#REF!</definedName>
    <definedName name="BIRPDCHG1" localSheetId="7">#REF!</definedName>
    <definedName name="BIRPDCHG1" localSheetId="9">#REF!</definedName>
    <definedName name="BIRPDCHG1" localSheetId="8">#REF!</definedName>
    <definedName name="BIRPDCHG1">#REF!</definedName>
    <definedName name="BIRPDCHG2" localSheetId="5">#REF!</definedName>
    <definedName name="BIRPDCHG2" localSheetId="6">#REF!</definedName>
    <definedName name="BIRPDCHG2" localSheetId="7">#REF!</definedName>
    <definedName name="BIRPDCHG2" localSheetId="9">#REF!</definedName>
    <definedName name="BIRPDCHG2" localSheetId="8">#REF!</definedName>
    <definedName name="BIRPDCHG2">#REF!</definedName>
    <definedName name="BIRPECHG1" localSheetId="5">#REF!</definedName>
    <definedName name="BIRPECHG1" localSheetId="6">#REF!</definedName>
    <definedName name="BIRPECHG1" localSheetId="7">#REF!</definedName>
    <definedName name="BIRPECHG1" localSheetId="9">#REF!</definedName>
    <definedName name="BIRPECHG1" localSheetId="8">#REF!</definedName>
    <definedName name="BIRPECHG1">#REF!</definedName>
    <definedName name="BIRPECHGB1" localSheetId="5">#REF!</definedName>
    <definedName name="BIRPECHGB1" localSheetId="6">#REF!</definedName>
    <definedName name="BIRPECHGB1" localSheetId="7">#REF!</definedName>
    <definedName name="BIRPECHGB1" localSheetId="9">#REF!</definedName>
    <definedName name="BIRPECHGB1" localSheetId="8">#REF!</definedName>
    <definedName name="BIRPECHGB1">#REF!</definedName>
    <definedName name="BIRPECHGB2" localSheetId="5">#REF!</definedName>
    <definedName name="BIRPECHGB2" localSheetId="6">#REF!</definedName>
    <definedName name="BIRPECHGB2" localSheetId="7">#REF!</definedName>
    <definedName name="BIRPECHGB2" localSheetId="9">#REF!</definedName>
    <definedName name="BIRPECHGB2" localSheetId="8">#REF!</definedName>
    <definedName name="BIRPECHGB2">#REF!</definedName>
    <definedName name="BIRPECHGB3" localSheetId="5">#REF!</definedName>
    <definedName name="BIRPECHGB3" localSheetId="6">#REF!</definedName>
    <definedName name="BIRPECHGB3" localSheetId="7">#REF!</definedName>
    <definedName name="BIRPECHGB3" localSheetId="9">#REF!</definedName>
    <definedName name="BIRPECHGB3" localSheetId="8">#REF!</definedName>
    <definedName name="BIRPECHGB3">#REF!</definedName>
    <definedName name="BIRPECHGW" localSheetId="5">#REF!</definedName>
    <definedName name="BIRPECHGW" localSheetId="6">#REF!</definedName>
    <definedName name="BIRPECHGW" localSheetId="7">#REF!</definedName>
    <definedName name="BIRPECHGW" localSheetId="9">#REF!</definedName>
    <definedName name="BIRPECHGW" localSheetId="8">#REF!</definedName>
    <definedName name="BIRPECHGW">#REF!</definedName>
    <definedName name="BIRPKWH1" localSheetId="5">#REF!</definedName>
    <definedName name="BIRPKWH1" localSheetId="6">#REF!</definedName>
    <definedName name="BIRPKWH1" localSheetId="7">#REF!</definedName>
    <definedName name="BIRPKWH1" localSheetId="9">#REF!</definedName>
    <definedName name="BIRPKWH1" localSheetId="8">#REF!</definedName>
    <definedName name="BIRPKWH1">#REF!</definedName>
    <definedName name="BIRPKWHB1" localSheetId="5">#REF!</definedName>
    <definedName name="BIRPKWHB1" localSheetId="6">#REF!</definedName>
    <definedName name="BIRPKWHB1" localSheetId="7">#REF!</definedName>
    <definedName name="BIRPKWHB1" localSheetId="9">#REF!</definedName>
    <definedName name="BIRPKWHB1" localSheetId="8">#REF!</definedName>
    <definedName name="BIRPKWHB1">#REF!</definedName>
    <definedName name="BIRPKWHB2" localSheetId="5">#REF!</definedName>
    <definedName name="BIRPKWHB2" localSheetId="6">#REF!</definedName>
    <definedName name="BIRPKWHB2" localSheetId="7">#REF!</definedName>
    <definedName name="BIRPKWHB2" localSheetId="9">#REF!</definedName>
    <definedName name="BIRPKWHB2" localSheetId="8">#REF!</definedName>
    <definedName name="BIRPKWHB2">#REF!</definedName>
    <definedName name="BIRPKWHB3" localSheetId="5">#REF!</definedName>
    <definedName name="BIRPKWHB3" localSheetId="6">#REF!</definedName>
    <definedName name="BIRPKWHB3" localSheetId="7">#REF!</definedName>
    <definedName name="BIRPKWHB3" localSheetId="9">#REF!</definedName>
    <definedName name="BIRPKWHB3" localSheetId="8">#REF!</definedName>
    <definedName name="BIRPKWHB3">#REF!</definedName>
    <definedName name="BIRPKWHWH" localSheetId="5">#REF!</definedName>
    <definedName name="BIRPKWHWH" localSheetId="6">#REF!</definedName>
    <definedName name="BIRPKWHWH" localSheetId="7">#REF!</definedName>
    <definedName name="BIRPKWHWH" localSheetId="9">#REF!</definedName>
    <definedName name="BIRPKWHWH" localSheetId="8">#REF!</definedName>
    <definedName name="BIRPKWHWH">#REF!</definedName>
    <definedName name="BIRPMECHG1" localSheetId="5">#REF!</definedName>
    <definedName name="BIRPMECHG1" localSheetId="6">#REF!</definedName>
    <definedName name="BIRPMECHG1" localSheetId="7">#REF!</definedName>
    <definedName name="BIRPMECHG1" localSheetId="9">#REF!</definedName>
    <definedName name="BIRPMECHG1" localSheetId="8">#REF!</definedName>
    <definedName name="BIRPMECHG1">#REF!</definedName>
    <definedName name="BIRPOFKWH" localSheetId="5">#REF!</definedName>
    <definedName name="BIRPOFKWH" localSheetId="6">#REF!</definedName>
    <definedName name="BIRPOFKWH" localSheetId="7">#REF!</definedName>
    <definedName name="BIRPOFKWH" localSheetId="9">#REF!</definedName>
    <definedName name="BIRPOFKWH" localSheetId="8">#REF!</definedName>
    <definedName name="BIRPOFKWH">#REF!</definedName>
    <definedName name="BIRPOPKWH" localSheetId="5">#REF!</definedName>
    <definedName name="BIRPOPKWH" localSheetId="6">#REF!</definedName>
    <definedName name="BIRPOPKWH" localSheetId="7">#REF!</definedName>
    <definedName name="BIRPOPKWH" localSheetId="9">#REF!</definedName>
    <definedName name="BIRPOPKWH" localSheetId="8">#REF!</definedName>
    <definedName name="BIRPOPKWH">#REF!</definedName>
    <definedName name="BIRPP1EC" localSheetId="5">#REF!</definedName>
    <definedName name="BIRPP1EC" localSheetId="6">#REF!</definedName>
    <definedName name="BIRPP1EC" localSheetId="7">#REF!</definedName>
    <definedName name="BIRPP1EC" localSheetId="9">#REF!</definedName>
    <definedName name="BIRPP1EC" localSheetId="8">#REF!</definedName>
    <definedName name="BIRPP1EC">#REF!</definedName>
    <definedName name="BIRPP2EC" localSheetId="5">#REF!</definedName>
    <definedName name="BIRPP2EC" localSheetId="6">#REF!</definedName>
    <definedName name="BIRPP2EC" localSheetId="7">#REF!</definedName>
    <definedName name="BIRPP2EC" localSheetId="9">#REF!</definedName>
    <definedName name="BIRPP2EC" localSheetId="8">#REF!</definedName>
    <definedName name="BIRPP2EC">#REF!</definedName>
    <definedName name="BIRPP3EC" localSheetId="5">#REF!</definedName>
    <definedName name="BIRPP3EC" localSheetId="6">#REF!</definedName>
    <definedName name="BIRPP3EC" localSheetId="7">#REF!</definedName>
    <definedName name="BIRPP3EC" localSheetId="9">#REF!</definedName>
    <definedName name="BIRPP3EC" localSheetId="8">#REF!</definedName>
    <definedName name="BIRPP3EC">#REF!</definedName>
    <definedName name="BIRPP4EC" localSheetId="5">#REF!</definedName>
    <definedName name="BIRPP4EC" localSheetId="6">#REF!</definedName>
    <definedName name="BIRPP4EC" localSheetId="7">#REF!</definedName>
    <definedName name="BIRPP4EC" localSheetId="9">#REF!</definedName>
    <definedName name="BIRPP4EC" localSheetId="8">#REF!</definedName>
    <definedName name="BIRPP4EC">#REF!</definedName>
    <definedName name="BIRPP5EC" localSheetId="5">#REF!</definedName>
    <definedName name="BIRPP5EC" localSheetId="6">#REF!</definedName>
    <definedName name="BIRPP5EC" localSheetId="7">#REF!</definedName>
    <definedName name="BIRPP5EC" localSheetId="9">#REF!</definedName>
    <definedName name="BIRPP5EC" localSheetId="8">#REF!</definedName>
    <definedName name="BIRPP5EC">#REF!</definedName>
    <definedName name="BIRPPDMDCHG" localSheetId="5">#REF!</definedName>
    <definedName name="BIRPPDMDCHG" localSheetId="6">#REF!</definedName>
    <definedName name="BIRPPDMDCHG" localSheetId="7">#REF!</definedName>
    <definedName name="BIRPPDMDCHG" localSheetId="9">#REF!</definedName>
    <definedName name="BIRPPDMDCHG" localSheetId="8">#REF!</definedName>
    <definedName name="BIRPPDMDCHG">#REF!</definedName>
    <definedName name="BIRPRCHG" localSheetId="5">#REF!</definedName>
    <definedName name="BIRPRCHG" localSheetId="6">#REF!</definedName>
    <definedName name="BIRPRCHG" localSheetId="7">#REF!</definedName>
    <definedName name="BIRPRCHG" localSheetId="9">#REF!</definedName>
    <definedName name="BIRPRCHG" localSheetId="8">#REF!</definedName>
    <definedName name="BIRPRCHG">#REF!</definedName>
    <definedName name="BIRPXKVA" localSheetId="5">#REF!</definedName>
    <definedName name="BIRPXKVA" localSheetId="6">#REF!</definedName>
    <definedName name="BIRPXKVA" localSheetId="7">#REF!</definedName>
    <definedName name="BIRPXKVA" localSheetId="9">#REF!</definedName>
    <definedName name="BIRPXKVA" localSheetId="8">#REF!</definedName>
    <definedName name="BIRPXKVA">#REF!</definedName>
    <definedName name="BIRPXKVAPCT" localSheetId="5">#REF!</definedName>
    <definedName name="BIRPXKVAPCT" localSheetId="6">#REF!</definedName>
    <definedName name="BIRPXKVAPCT" localSheetId="7">#REF!</definedName>
    <definedName name="BIRPXKVAPCT" localSheetId="9">#REF!</definedName>
    <definedName name="BIRPXKVAPCT" localSheetId="8">#REF!</definedName>
    <definedName name="BIRPXKVAPCT">#REF!</definedName>
    <definedName name="BIRPXOFKW" localSheetId="5">#REF!</definedName>
    <definedName name="BIRPXOFKW" localSheetId="6">#REF!</definedName>
    <definedName name="BIRPXOFKW" localSheetId="7">#REF!</definedName>
    <definedName name="BIRPXOFKW" localSheetId="9">#REF!</definedName>
    <definedName name="BIRPXOFKW" localSheetId="8">#REF!</definedName>
    <definedName name="BIRPXOFKW">#REF!</definedName>
    <definedName name="BKUPKWH" localSheetId="5">#REF!</definedName>
    <definedName name="BKUPKWH" localSheetId="6">#REF!</definedName>
    <definedName name="BKUPKWH" localSheetId="7">#REF!</definedName>
    <definedName name="BKUPKWH" localSheetId="9">#REF!</definedName>
    <definedName name="BKUPKWH" localSheetId="8">#REF!</definedName>
    <definedName name="BKUPKWH">#REF!</definedName>
    <definedName name="BLDAMNT" localSheetId="5">#REF!</definedName>
    <definedName name="BLDAMNT" localSheetId="6">#REF!</definedName>
    <definedName name="BLDAMNT" localSheetId="7">#REF!</definedName>
    <definedName name="BLDAMNT" localSheetId="9">#REF!</definedName>
    <definedName name="BLDAMNT" localSheetId="8">#REF!</definedName>
    <definedName name="BLDAMNT">#REF!</definedName>
    <definedName name="BLDDMND" localSheetId="5">#REF!</definedName>
    <definedName name="BLDDMND" localSheetId="6">#REF!</definedName>
    <definedName name="BLDDMND" localSheetId="7">#REF!</definedName>
    <definedName name="BLDDMND" localSheetId="9">#REF!</definedName>
    <definedName name="BLDDMND" localSheetId="8">#REF!</definedName>
    <definedName name="BLDDMND">#REF!</definedName>
    <definedName name="BLDKWH" localSheetId="5">#REF!</definedName>
    <definedName name="BLDKWH" localSheetId="6">#REF!</definedName>
    <definedName name="BLDKWH" localSheetId="7">#REF!</definedName>
    <definedName name="BLDKWH" localSheetId="9">#REF!</definedName>
    <definedName name="BLDKWH" localSheetId="8">#REF!</definedName>
    <definedName name="BLDKWH">#REF!</definedName>
    <definedName name="BLDOPDMND" localSheetId="5">#REF!</definedName>
    <definedName name="BLDOPDMND" localSheetId="6">#REF!</definedName>
    <definedName name="BLDOPDMND" localSheetId="7">#REF!</definedName>
    <definedName name="BLDOPDMND" localSheetId="9">#REF!</definedName>
    <definedName name="BLDOPDMND" localSheetId="8">#REF!</definedName>
    <definedName name="BLDOPDMND">#REF!</definedName>
    <definedName name="BLNGKWB4EDR" localSheetId="5">#REF!</definedName>
    <definedName name="BLNGKWB4EDR" localSheetId="6">#REF!</definedName>
    <definedName name="BLNGKWB4EDR" localSheetId="7">#REF!</definedName>
    <definedName name="BLNGKWB4EDR" localSheetId="9">#REF!</definedName>
    <definedName name="BLNGKWB4EDR" localSheetId="8">#REF!</definedName>
    <definedName name="BLNGKWB4EDR">#REF!</definedName>
    <definedName name="BLNGKWH" localSheetId="5">#REF!</definedName>
    <definedName name="BLNGKWH" localSheetId="6">#REF!</definedName>
    <definedName name="BLNGKWH" localSheetId="7">#REF!</definedName>
    <definedName name="BLNGKWH" localSheetId="9">#REF!</definedName>
    <definedName name="BLNGKWH" localSheetId="8">#REF!</definedName>
    <definedName name="BLNGKWH">#REF!</definedName>
    <definedName name="BLNGKWHTTL" localSheetId="5">#REF!</definedName>
    <definedName name="BLNGKWHTTL" localSheetId="6">#REF!</definedName>
    <definedName name="BLNGKWHTTL" localSheetId="7">#REF!</definedName>
    <definedName name="BLNGKWHTTL" localSheetId="9">#REF!</definedName>
    <definedName name="BLNGKWHTTL" localSheetId="8">#REF!</definedName>
    <definedName name="BLNGKWHTTL">#REF!</definedName>
    <definedName name="BndBlkKwh1" localSheetId="5">#REF!</definedName>
    <definedName name="BndBlkKwh1" localSheetId="6">#REF!</definedName>
    <definedName name="BndBlkKwh1" localSheetId="7">#REF!</definedName>
    <definedName name="BndBlkKwh1" localSheetId="9">#REF!</definedName>
    <definedName name="BndBlkKwh1" localSheetId="8">#REF!</definedName>
    <definedName name="BndBlkKwh1">#REF!</definedName>
    <definedName name="BndBlkKwh2" localSheetId="5">#REF!</definedName>
    <definedName name="BndBlkKwh2" localSheetId="6">#REF!</definedName>
    <definedName name="BndBlkKwh2" localSheetId="7">#REF!</definedName>
    <definedName name="BndBlkKwh2" localSheetId="9">#REF!</definedName>
    <definedName name="BndBlkKwh2" localSheetId="8">#REF!</definedName>
    <definedName name="BndBlkKwh2">#REF!</definedName>
    <definedName name="BndBlkKwh3" localSheetId="5">#REF!</definedName>
    <definedName name="BndBlkKwh3" localSheetId="6">#REF!</definedName>
    <definedName name="BndBlkKwh3" localSheetId="7">#REF!</definedName>
    <definedName name="BndBlkKwh3" localSheetId="9">#REF!</definedName>
    <definedName name="BndBlkKwh3" localSheetId="8">#REF!</definedName>
    <definedName name="BndBlkKwh3">#REF!</definedName>
    <definedName name="BndBlkKwhChg1" localSheetId="5">#REF!</definedName>
    <definedName name="BndBlkKwhChg1" localSheetId="6">#REF!</definedName>
    <definedName name="BndBlkKwhChg1" localSheetId="7">#REF!</definedName>
    <definedName name="BndBlkKwhChg1" localSheetId="9">#REF!</definedName>
    <definedName name="BndBlkKwhChg1" localSheetId="8">#REF!</definedName>
    <definedName name="BndBlkKwhChg1">#REF!</definedName>
    <definedName name="BndBlkKwhChg2" localSheetId="5">#REF!</definedName>
    <definedName name="BndBlkKwhChg2" localSheetId="6">#REF!</definedName>
    <definedName name="BndBlkKwhChg2" localSheetId="7">#REF!</definedName>
    <definedName name="BndBlkKwhChg2" localSheetId="9">#REF!</definedName>
    <definedName name="BndBlkKwhChg2" localSheetId="8">#REF!</definedName>
    <definedName name="BndBlkKwhChg2">#REF!</definedName>
    <definedName name="BndBlkKwhChg3" localSheetId="5">#REF!</definedName>
    <definedName name="BndBlkKwhChg3" localSheetId="6">#REF!</definedName>
    <definedName name="BndBlkKwhChg3" localSheetId="7">#REF!</definedName>
    <definedName name="BndBlkKwhChg3" localSheetId="9">#REF!</definedName>
    <definedName name="BndBlkKwhChg3" localSheetId="8">#REF!</definedName>
    <definedName name="BndBlkKwhChg3">#REF!</definedName>
    <definedName name="BndBlkKwhChgT" localSheetId="5">#REF!</definedName>
    <definedName name="BndBlkKwhChgT" localSheetId="6">#REF!</definedName>
    <definedName name="BndBlkKwhChgT" localSheetId="7">#REF!</definedName>
    <definedName name="BndBlkKwhChgT" localSheetId="9">#REF!</definedName>
    <definedName name="BndBlkKwhChgT" localSheetId="8">#REF!</definedName>
    <definedName name="BndBlkKwhChgT">#REF!</definedName>
    <definedName name="BndBlkKwhChgW" localSheetId="5">#REF!</definedName>
    <definedName name="BndBlkKwhChgW" localSheetId="6">#REF!</definedName>
    <definedName name="BndBlkKwhChgW" localSheetId="7">#REF!</definedName>
    <definedName name="BndBlkKwhChgW" localSheetId="9">#REF!</definedName>
    <definedName name="BndBlkKwhChgW" localSheetId="8">#REF!</definedName>
    <definedName name="BndBlkKwhChgW">#REF!</definedName>
    <definedName name="BndBlkKwhT" localSheetId="5">#REF!</definedName>
    <definedName name="BndBlkKwhT" localSheetId="6">#REF!</definedName>
    <definedName name="BndBlkKwhT" localSheetId="7">#REF!</definedName>
    <definedName name="BndBlkKwhT" localSheetId="9">#REF!</definedName>
    <definedName name="BndBlkKwhT" localSheetId="8">#REF!</definedName>
    <definedName name="BndBlkKwhT">#REF!</definedName>
    <definedName name="BndBlkKwhW" localSheetId="5">#REF!</definedName>
    <definedName name="BndBlkKwhW" localSheetId="6">#REF!</definedName>
    <definedName name="BndBlkKwhW" localSheetId="7">#REF!</definedName>
    <definedName name="BndBlkKwhW" localSheetId="9">#REF!</definedName>
    <definedName name="BndBlkKwhW" localSheetId="8">#REF!</definedName>
    <definedName name="BndBlkKwhW">#REF!</definedName>
    <definedName name="BndCustChg" localSheetId="5">#REF!</definedName>
    <definedName name="BndCustChg" localSheetId="6">#REF!</definedName>
    <definedName name="BndCustChg" localSheetId="7">#REF!</definedName>
    <definedName name="BndCustChg" localSheetId="9">#REF!</definedName>
    <definedName name="BndCustChg" localSheetId="8">#REF!</definedName>
    <definedName name="BndCustChg">#REF!</definedName>
    <definedName name="BndDmdChg1" localSheetId="5">#REF!</definedName>
    <definedName name="BndDmdChg1" localSheetId="6">#REF!</definedName>
    <definedName name="BndDmdChg1" localSheetId="7">#REF!</definedName>
    <definedName name="BndDmdChg1" localSheetId="9">#REF!</definedName>
    <definedName name="BndDmdChg1" localSheetId="8">#REF!</definedName>
    <definedName name="BndDmdChg1">#REF!</definedName>
    <definedName name="BndDmdChg2" localSheetId="5">#REF!</definedName>
    <definedName name="BndDmdChg2" localSheetId="6">#REF!</definedName>
    <definedName name="BndDmdChg2" localSheetId="7">#REF!</definedName>
    <definedName name="BndDmdChg2" localSheetId="9">#REF!</definedName>
    <definedName name="BndDmdChg2" localSheetId="8">#REF!</definedName>
    <definedName name="BndDmdChg2">#REF!</definedName>
    <definedName name="BndExcsKvaPct" localSheetId="5">#REF!</definedName>
    <definedName name="BndExcsKvaPct" localSheetId="6">#REF!</definedName>
    <definedName name="BndExcsKvaPct" localSheetId="7">#REF!</definedName>
    <definedName name="BndExcsKvaPct" localSheetId="9">#REF!</definedName>
    <definedName name="BndExcsKvaPct" localSheetId="8">#REF!</definedName>
    <definedName name="BndExcsKvaPct">#REF!</definedName>
    <definedName name="BndMEChg" localSheetId="5">#REF!</definedName>
    <definedName name="BndMEChg" localSheetId="6">#REF!</definedName>
    <definedName name="BndMEChg" localSheetId="7">#REF!</definedName>
    <definedName name="BndMEChg" localSheetId="9">#REF!</definedName>
    <definedName name="BndMEChg" localSheetId="8">#REF!</definedName>
    <definedName name="BndMEChg">#REF!</definedName>
    <definedName name="BndOffPkKwh" localSheetId="5">#REF!</definedName>
    <definedName name="BndOffPkKwh" localSheetId="6">#REF!</definedName>
    <definedName name="BndOffPkKwh" localSheetId="7">#REF!</definedName>
    <definedName name="BndOffPkKwh" localSheetId="9">#REF!</definedName>
    <definedName name="BndOffPkKwh" localSheetId="8">#REF!</definedName>
    <definedName name="BndOffPkKwh">#REF!</definedName>
    <definedName name="BndOnPkKwh" localSheetId="5">#REF!</definedName>
    <definedName name="BndOnPkKwh" localSheetId="6">#REF!</definedName>
    <definedName name="BndOnPkKwh" localSheetId="7">#REF!</definedName>
    <definedName name="BndOnPkKwh" localSheetId="9">#REF!</definedName>
    <definedName name="BndOnPkKwh" localSheetId="8">#REF!</definedName>
    <definedName name="BndOnPkKwh">#REF!</definedName>
    <definedName name="BndPL1Chg" localSheetId="5">#REF!</definedName>
    <definedName name="BndPL1Chg" localSheetId="6">#REF!</definedName>
    <definedName name="BndPL1Chg" localSheetId="7">#REF!</definedName>
    <definedName name="BndPL1Chg" localSheetId="9">#REF!</definedName>
    <definedName name="BndPL1Chg" localSheetId="8">#REF!</definedName>
    <definedName name="BndPL1Chg">#REF!</definedName>
    <definedName name="BndPL2Chg" localSheetId="5">#REF!</definedName>
    <definedName name="BndPL2Chg" localSheetId="6">#REF!</definedName>
    <definedName name="BndPL2Chg" localSheetId="7">#REF!</definedName>
    <definedName name="BndPL2Chg" localSheetId="9">#REF!</definedName>
    <definedName name="BndPL2Chg" localSheetId="8">#REF!</definedName>
    <definedName name="BndPL2Chg">#REF!</definedName>
    <definedName name="BndPL3Chg" localSheetId="5">#REF!</definedName>
    <definedName name="BndPL3Chg" localSheetId="6">#REF!</definedName>
    <definedName name="BndPL3Chg" localSheetId="7">#REF!</definedName>
    <definedName name="BndPL3Chg" localSheetId="9">#REF!</definedName>
    <definedName name="BndPL3Chg" localSheetId="8">#REF!</definedName>
    <definedName name="BndPL3Chg">#REF!</definedName>
    <definedName name="BndPL4Chg" localSheetId="5">#REF!</definedName>
    <definedName name="BndPL4Chg" localSheetId="6">#REF!</definedName>
    <definedName name="BndPL4Chg" localSheetId="7">#REF!</definedName>
    <definedName name="BndPL4Chg" localSheetId="9">#REF!</definedName>
    <definedName name="BndPL4Chg" localSheetId="8">#REF!</definedName>
    <definedName name="BndPL4Chg">#REF!</definedName>
    <definedName name="BndPL5Chg" localSheetId="5">#REF!</definedName>
    <definedName name="BndPL5Chg" localSheetId="6">#REF!</definedName>
    <definedName name="BndPL5Chg" localSheetId="7">#REF!</definedName>
    <definedName name="BndPL5Chg" localSheetId="9">#REF!</definedName>
    <definedName name="BndPL5Chg" localSheetId="8">#REF!</definedName>
    <definedName name="BndPL5Chg">#REF!</definedName>
    <definedName name="BndReactiveChg" localSheetId="5">#REF!</definedName>
    <definedName name="BndReactiveChg" localSheetId="6">#REF!</definedName>
    <definedName name="BndReactiveChg" localSheetId="7">#REF!</definedName>
    <definedName name="BndReactiveChg" localSheetId="9">#REF!</definedName>
    <definedName name="BndReactiveChg" localSheetId="8">#REF!</definedName>
    <definedName name="BndReactiveChg">#REF!</definedName>
    <definedName name="BndXOfpKvaChg" localSheetId="5">#REF!</definedName>
    <definedName name="BndXOfpKvaChg" localSheetId="6">#REF!</definedName>
    <definedName name="BndXOfpKvaChg" localSheetId="7">#REF!</definedName>
    <definedName name="BndXOfpKvaChg" localSheetId="9">#REF!</definedName>
    <definedName name="BndXOfpKvaChg" localSheetId="8">#REF!</definedName>
    <definedName name="BndXOfpKvaChg">#REF!</definedName>
    <definedName name="BndXOfpKwChg" localSheetId="5">#REF!</definedName>
    <definedName name="BndXOfpKwChg" localSheetId="6">#REF!</definedName>
    <definedName name="BndXOfpKwChg" localSheetId="7">#REF!</definedName>
    <definedName name="BndXOfpKwChg" localSheetId="9">#REF!</definedName>
    <definedName name="BndXOfpKwChg" localSheetId="8">#REF!</definedName>
    <definedName name="BndXOfpKwChg">#REF!</definedName>
    <definedName name="BTTrueUp" localSheetId="5">#REF!</definedName>
    <definedName name="BTTrueUp" localSheetId="6">#REF!</definedName>
    <definedName name="BTTrueUp" localSheetId="7">#REF!</definedName>
    <definedName name="BTTrueUp" localSheetId="9">#REF!</definedName>
    <definedName name="BTTrueUp" localSheetId="8">#REF!</definedName>
    <definedName name="BTTrueUp">#REF!</definedName>
    <definedName name="BUNCCHG" localSheetId="5">#REF!</definedName>
    <definedName name="BUNCCHG" localSheetId="6">#REF!</definedName>
    <definedName name="BUNCCHG" localSheetId="7">#REF!</definedName>
    <definedName name="BUNCCHG" localSheetId="9">#REF!</definedName>
    <definedName name="BUNCCHG" localSheetId="8">#REF!</definedName>
    <definedName name="BUNCCHG">#REF!</definedName>
    <definedName name="BUNDCHG1" localSheetId="5">#REF!</definedName>
    <definedName name="BUNDCHG1" localSheetId="6">#REF!</definedName>
    <definedName name="BUNDCHG1" localSheetId="7">#REF!</definedName>
    <definedName name="BUNDCHG1" localSheetId="9">#REF!</definedName>
    <definedName name="BUNDCHG1" localSheetId="8">#REF!</definedName>
    <definedName name="BUNDCHG1">#REF!</definedName>
    <definedName name="BUNDCHG2" localSheetId="5">#REF!</definedName>
    <definedName name="BUNDCHG2" localSheetId="6">#REF!</definedName>
    <definedName name="BUNDCHG2" localSheetId="7">#REF!</definedName>
    <definedName name="BUNDCHG2" localSheetId="9">#REF!</definedName>
    <definedName name="BUNDCHG2" localSheetId="8">#REF!</definedName>
    <definedName name="BUNDCHG2">#REF!</definedName>
    <definedName name="BUNECHG1" localSheetId="5">#REF!</definedName>
    <definedName name="BUNECHG1" localSheetId="6">#REF!</definedName>
    <definedName name="BUNECHG1" localSheetId="7">#REF!</definedName>
    <definedName name="BUNECHG1" localSheetId="9">#REF!</definedName>
    <definedName name="BUNECHG1" localSheetId="8">#REF!</definedName>
    <definedName name="BUNECHG1">#REF!</definedName>
    <definedName name="BUNECHGB1" localSheetId="5">#REF!</definedName>
    <definedName name="BUNECHGB1" localSheetId="6">#REF!</definedName>
    <definedName name="BUNECHGB1" localSheetId="7">#REF!</definedName>
    <definedName name="BUNECHGB1" localSheetId="9">#REF!</definedName>
    <definedName name="BUNECHGB1" localSheetId="8">#REF!</definedName>
    <definedName name="BUNECHGB1">#REF!</definedName>
    <definedName name="BUNECHGB2" localSheetId="5">#REF!</definedName>
    <definedName name="BUNECHGB2" localSheetId="6">#REF!</definedName>
    <definedName name="BUNECHGB2" localSheetId="7">#REF!</definedName>
    <definedName name="BUNECHGB2" localSheetId="9">#REF!</definedName>
    <definedName name="BUNECHGB2" localSheetId="8">#REF!</definedName>
    <definedName name="BUNECHGB2">#REF!</definedName>
    <definedName name="BUNECHGB3" localSheetId="5">#REF!</definedName>
    <definedName name="BUNECHGB3" localSheetId="6">#REF!</definedName>
    <definedName name="BUNECHGB3" localSheetId="7">#REF!</definedName>
    <definedName name="BUNECHGB3" localSheetId="9">#REF!</definedName>
    <definedName name="BUNECHGB3" localSheetId="8">#REF!</definedName>
    <definedName name="BUNECHGB3">#REF!</definedName>
    <definedName name="BUNECHGW" localSheetId="5">#REF!</definedName>
    <definedName name="BUNECHGW" localSheetId="6">#REF!</definedName>
    <definedName name="BUNECHGW" localSheetId="7">#REF!</definedName>
    <definedName name="BUNECHGW" localSheetId="9">#REF!</definedName>
    <definedName name="BUNECHGW" localSheetId="8">#REF!</definedName>
    <definedName name="BUNECHGW">#REF!</definedName>
    <definedName name="BUNKWH1" localSheetId="5">#REF!</definedName>
    <definedName name="BUNKWH1" localSheetId="6">#REF!</definedName>
    <definedName name="BUNKWH1" localSheetId="7">#REF!</definedName>
    <definedName name="BUNKWH1" localSheetId="9">#REF!</definedName>
    <definedName name="BUNKWH1" localSheetId="8">#REF!</definedName>
    <definedName name="BUNKWH1">#REF!</definedName>
    <definedName name="BUNKWHB1" localSheetId="5">#REF!</definedName>
    <definedName name="BUNKWHB1" localSheetId="6">#REF!</definedName>
    <definedName name="BUNKWHB1" localSheetId="7">#REF!</definedName>
    <definedName name="BUNKWHB1" localSheetId="9">#REF!</definedName>
    <definedName name="BUNKWHB1" localSheetId="8">#REF!</definedName>
    <definedName name="BUNKWHB1">#REF!</definedName>
    <definedName name="BUNKWHB2" localSheetId="5">#REF!</definedName>
    <definedName name="BUNKWHB2" localSheetId="6">#REF!</definedName>
    <definedName name="BUNKWHB2" localSheetId="7">#REF!</definedName>
    <definedName name="BUNKWHB2" localSheetId="9">#REF!</definedName>
    <definedName name="BUNKWHB2" localSheetId="8">#REF!</definedName>
    <definedName name="BUNKWHB2">#REF!</definedName>
    <definedName name="BUNKWHB3" localSheetId="5">#REF!</definedName>
    <definedName name="BUNKWHB3" localSheetId="6">#REF!</definedName>
    <definedName name="BUNKWHB3" localSheetId="7">#REF!</definedName>
    <definedName name="BUNKWHB3" localSheetId="9">#REF!</definedName>
    <definedName name="BUNKWHB3" localSheetId="8">#REF!</definedName>
    <definedName name="BUNKWHB3">#REF!</definedName>
    <definedName name="BUNKWHWH" localSheetId="5">#REF!</definedName>
    <definedName name="BUNKWHWH" localSheetId="6">#REF!</definedName>
    <definedName name="BUNKWHWH" localSheetId="7">#REF!</definedName>
    <definedName name="BUNKWHWH" localSheetId="9">#REF!</definedName>
    <definedName name="BUNKWHWH" localSheetId="8">#REF!</definedName>
    <definedName name="BUNKWHWH">#REF!</definedName>
    <definedName name="BUNMECHG1" localSheetId="5">#REF!</definedName>
    <definedName name="BUNMECHG1" localSheetId="6">#REF!</definedName>
    <definedName name="BUNMECHG1" localSheetId="7">#REF!</definedName>
    <definedName name="BUNMECHG1" localSheetId="9">#REF!</definedName>
    <definedName name="BUNMECHG1" localSheetId="8">#REF!</definedName>
    <definedName name="BUNMECHG1">#REF!</definedName>
    <definedName name="BUNOFKWH" localSheetId="5">#REF!</definedName>
    <definedName name="BUNOFKWH" localSheetId="6">#REF!</definedName>
    <definedName name="BUNOFKWH" localSheetId="7">#REF!</definedName>
    <definedName name="BUNOFKWH" localSheetId="9">#REF!</definedName>
    <definedName name="BUNOFKWH" localSheetId="8">#REF!</definedName>
    <definedName name="BUNOFKWH">#REF!</definedName>
    <definedName name="BUNOPKWH" localSheetId="5">#REF!</definedName>
    <definedName name="BUNOPKWH" localSheetId="6">#REF!</definedName>
    <definedName name="BUNOPKWH" localSheetId="7">#REF!</definedName>
    <definedName name="BUNOPKWH" localSheetId="9">#REF!</definedName>
    <definedName name="BUNOPKWH" localSheetId="8">#REF!</definedName>
    <definedName name="BUNOPKWH">#REF!</definedName>
    <definedName name="BUNP1EC" localSheetId="5">#REF!</definedName>
    <definedName name="BUNP1EC" localSheetId="6">#REF!</definedName>
    <definedName name="BUNP1EC" localSheetId="7">#REF!</definedName>
    <definedName name="BUNP1EC" localSheetId="9">#REF!</definedName>
    <definedName name="BUNP1EC" localSheetId="8">#REF!</definedName>
    <definedName name="BUNP1EC">#REF!</definedName>
    <definedName name="BUNP2EC" localSheetId="5">#REF!</definedName>
    <definedName name="BUNP2EC" localSheetId="6">#REF!</definedName>
    <definedName name="BUNP2EC" localSheetId="7">#REF!</definedName>
    <definedName name="BUNP2EC" localSheetId="9">#REF!</definedName>
    <definedName name="BUNP2EC" localSheetId="8">#REF!</definedName>
    <definedName name="BUNP2EC">#REF!</definedName>
    <definedName name="BUNP3EC" localSheetId="5">#REF!</definedName>
    <definedName name="BUNP3EC" localSheetId="6">#REF!</definedName>
    <definedName name="BUNP3EC" localSheetId="7">#REF!</definedName>
    <definedName name="BUNP3EC" localSheetId="9">#REF!</definedName>
    <definedName name="BUNP3EC" localSheetId="8">#REF!</definedName>
    <definedName name="BUNP3EC">#REF!</definedName>
    <definedName name="BUNP4EC" localSheetId="5">#REF!</definedName>
    <definedName name="BUNP4EC" localSheetId="6">#REF!</definedName>
    <definedName name="BUNP4EC" localSheetId="7">#REF!</definedName>
    <definedName name="BUNP4EC" localSheetId="9">#REF!</definedName>
    <definedName name="BUNP4EC" localSheetId="8">#REF!</definedName>
    <definedName name="BUNP4EC">#REF!</definedName>
    <definedName name="BUNP5EC" localSheetId="5">#REF!</definedName>
    <definedName name="BUNP5EC" localSheetId="6">#REF!</definedName>
    <definedName name="BUNP5EC" localSheetId="7">#REF!</definedName>
    <definedName name="BUNP5EC" localSheetId="9">#REF!</definedName>
    <definedName name="BUNP5EC" localSheetId="8">#REF!</definedName>
    <definedName name="BUNP5EC">#REF!</definedName>
    <definedName name="BUNPDMDCHG" localSheetId="5">#REF!</definedName>
    <definedName name="BUNPDMDCHG" localSheetId="6">#REF!</definedName>
    <definedName name="BUNPDMDCHG" localSheetId="7">#REF!</definedName>
    <definedName name="BUNPDMDCHG" localSheetId="9">#REF!</definedName>
    <definedName name="BUNPDMDCHG" localSheetId="8">#REF!</definedName>
    <definedName name="BUNPDMDCHG">#REF!</definedName>
    <definedName name="BUNRCHG" localSheetId="5">#REF!</definedName>
    <definedName name="BUNRCHG" localSheetId="6">#REF!</definedName>
    <definedName name="BUNRCHG" localSheetId="7">#REF!</definedName>
    <definedName name="BUNRCHG" localSheetId="9">#REF!</definedName>
    <definedName name="BUNRCHG" localSheetId="8">#REF!</definedName>
    <definedName name="BUNRCHG">#REF!</definedName>
    <definedName name="BUNXKVA" localSheetId="5">#REF!</definedName>
    <definedName name="BUNXKVA" localSheetId="6">#REF!</definedName>
    <definedName name="BUNXKVA" localSheetId="7">#REF!</definedName>
    <definedName name="BUNXKVA" localSheetId="9">#REF!</definedName>
    <definedName name="BUNXKVA" localSheetId="8">#REF!</definedName>
    <definedName name="BUNXKVA">#REF!</definedName>
    <definedName name="BUNXKVAPCT" localSheetId="5">#REF!</definedName>
    <definedName name="BUNXKVAPCT" localSheetId="6">#REF!</definedName>
    <definedName name="BUNXKVAPCT" localSheetId="7">#REF!</definedName>
    <definedName name="BUNXKVAPCT" localSheetId="9">#REF!</definedName>
    <definedName name="BUNXKVAPCT" localSheetId="8">#REF!</definedName>
    <definedName name="BUNXKVAPCT">#REF!</definedName>
    <definedName name="BUNXOFKW" localSheetId="5">#REF!</definedName>
    <definedName name="BUNXOFKW" localSheetId="6">#REF!</definedName>
    <definedName name="BUNXOFKW" localSheetId="7">#REF!</definedName>
    <definedName name="BUNXOFKW" localSheetId="9">#REF!</definedName>
    <definedName name="BUNXOFKW" localSheetId="8">#REF!</definedName>
    <definedName name="BUNXOFKW">#REF!</definedName>
    <definedName name="CALCPFCC" localSheetId="5">#REF!</definedName>
    <definedName name="CALCPFCC" localSheetId="6">#REF!</definedName>
    <definedName name="CALCPFCC" localSheetId="7">#REF!</definedName>
    <definedName name="CALCPFCC" localSheetId="9">#REF!</definedName>
    <definedName name="CALCPFCC" localSheetId="8">#REF!</definedName>
    <definedName name="CALCPFCC">#REF!</definedName>
    <definedName name="CAPDEFA" localSheetId="5">#REF!</definedName>
    <definedName name="CAPDEFA" localSheetId="6">#REF!</definedName>
    <definedName name="CAPDEFA" localSheetId="7">#REF!</definedName>
    <definedName name="CAPDEFA" localSheetId="9">#REF!</definedName>
    <definedName name="CAPDEFA" localSheetId="8">#REF!</definedName>
    <definedName name="CAPDEFA">#REF!</definedName>
    <definedName name="CBLKWH" localSheetId="5">#REF!</definedName>
    <definedName name="CBLKWH" localSheetId="6">#REF!</definedName>
    <definedName name="CBLKWH" localSheetId="7">#REF!</definedName>
    <definedName name="CBLKWH" localSheetId="9">#REF!</definedName>
    <definedName name="CBLKWH" localSheetId="8">#REF!</definedName>
    <definedName name="CBLKWH">#REF!</definedName>
    <definedName name="City" localSheetId="5">#REF!</definedName>
    <definedName name="City" localSheetId="6">#REF!</definedName>
    <definedName name="City" localSheetId="7">#REF!</definedName>
    <definedName name="City" localSheetId="9">#REF!</definedName>
    <definedName name="City" localSheetId="8">#REF!</definedName>
    <definedName name="City">#REF!</definedName>
    <definedName name="CNTRCTDMND" localSheetId="5">#REF!</definedName>
    <definedName name="CNTRCTDMND" localSheetId="6">#REF!</definedName>
    <definedName name="CNTRCTDMND" localSheetId="7">#REF!</definedName>
    <definedName name="CNTRCTDMND" localSheetId="9">#REF!</definedName>
    <definedName name="CNTRCTDMND" localSheetId="8">#REF!</definedName>
    <definedName name="CNTRCTDMND">#REF!</definedName>
    <definedName name="CoPhoneLine" localSheetId="5">#REF!</definedName>
    <definedName name="CoPhoneLine" localSheetId="6">#REF!</definedName>
    <definedName name="CoPhoneLine" localSheetId="7">#REF!</definedName>
    <definedName name="CoPhoneLine" localSheetId="9">#REF!</definedName>
    <definedName name="CoPhoneLine" localSheetId="8">#REF!</definedName>
    <definedName name="CoPhoneLine">#REF!</definedName>
    <definedName name="CRMOINTRPTHRS" localSheetId="5">#REF!</definedName>
    <definedName name="CRMOINTRPTHRS" localSheetId="6">#REF!</definedName>
    <definedName name="CRMOINTRPTHRS" localSheetId="7">#REF!</definedName>
    <definedName name="CRMOINTRPTHRS" localSheetId="9">#REF!</definedName>
    <definedName name="CRMOINTRPTHRS" localSheetId="8">#REF!</definedName>
    <definedName name="CRMOINTRPTHRS">#REF!</definedName>
    <definedName name="CRNTMOBTKWH" localSheetId="5">#REF!</definedName>
    <definedName name="CRNTMOBTKWH" localSheetId="6">#REF!</definedName>
    <definedName name="CRNTMOBTKWH" localSheetId="7">#REF!</definedName>
    <definedName name="CRNTMOBTKWH" localSheetId="9">#REF!</definedName>
    <definedName name="CRNTMOBTKWH" localSheetId="8">#REF!</definedName>
    <definedName name="CRNTMOBTKWH">#REF!</definedName>
    <definedName name="CRNTMOFPKHRS" localSheetId="5">#REF!</definedName>
    <definedName name="CRNTMOFPKHRS" localSheetId="6">#REF!</definedName>
    <definedName name="CRNTMOFPKHRS" localSheetId="7">#REF!</definedName>
    <definedName name="CRNTMOFPKHRS" localSheetId="9">#REF!</definedName>
    <definedName name="CRNTMOFPKHRS" localSheetId="8">#REF!</definedName>
    <definedName name="CRNTMOFPKHRS">#REF!</definedName>
    <definedName name="CRNTMONPKHRS" localSheetId="5">#REF!</definedName>
    <definedName name="CRNTMONPKHRS" localSheetId="6">#REF!</definedName>
    <definedName name="CRNTMONPKHRS" localSheetId="7">#REF!</definedName>
    <definedName name="CRNTMONPKHRS" localSheetId="9">#REF!</definedName>
    <definedName name="CRNTMONPKHRS" localSheetId="8">#REF!</definedName>
    <definedName name="CRNTMONPKHRS">#REF!</definedName>
    <definedName name="CRTLBLONPKHRS" localSheetId="5">#REF!</definedName>
    <definedName name="CRTLBLONPKHRS" localSheetId="6">#REF!</definedName>
    <definedName name="CRTLBLONPKHRS" localSheetId="7">#REF!</definedName>
    <definedName name="CRTLBLONPKHRS" localSheetId="9">#REF!</definedName>
    <definedName name="CRTLBLONPKHRS" localSheetId="8">#REF!</definedName>
    <definedName name="CRTLBLONPKHRS">#REF!</definedName>
    <definedName name="CRTLBLONPKKWH" localSheetId="5">#REF!</definedName>
    <definedName name="CRTLBLONPKKWH" localSheetId="6">#REF!</definedName>
    <definedName name="CRTLBLONPKKWH" localSheetId="7">#REF!</definedName>
    <definedName name="CRTLBLONPKKWH" localSheetId="9">#REF!</definedName>
    <definedName name="CRTLBLONPKKWH" localSheetId="8">#REF!</definedName>
    <definedName name="CRTLBLONPKKWH">#REF!</definedName>
    <definedName name="CSTMRCHG" localSheetId="5">#REF!</definedName>
    <definedName name="CSTMRCHG" localSheetId="6">#REF!</definedName>
    <definedName name="CSTMRCHG" localSheetId="7">#REF!</definedName>
    <definedName name="CSTMRCHG" localSheetId="9">#REF!</definedName>
    <definedName name="CSTMRCHG" localSheetId="8">#REF!</definedName>
    <definedName name="CSTMRCHG">#REF!</definedName>
    <definedName name="CurMoAddr1" localSheetId="5">#REF!</definedName>
    <definedName name="CurMoAddr1" localSheetId="6">#REF!</definedName>
    <definedName name="CurMoAddr1" localSheetId="7">#REF!</definedName>
    <definedName name="CurMoAddr1" localSheetId="9">#REF!</definedName>
    <definedName name="CurMoAddr1" localSheetId="8">#REF!</definedName>
    <definedName name="CurMoAddr1">#REF!</definedName>
    <definedName name="CurMoAddr2" localSheetId="5">#REF!</definedName>
    <definedName name="CurMoAddr2" localSheetId="6">#REF!</definedName>
    <definedName name="CurMoAddr2" localSheetId="7">#REF!</definedName>
    <definedName name="CurMoAddr2" localSheetId="9">#REF!</definedName>
    <definedName name="CurMoAddr2" localSheetId="8">#REF!</definedName>
    <definedName name="CurMoAddr2">#REF!</definedName>
    <definedName name="CurMoBTDetail" localSheetId="5">#REF!</definedName>
    <definedName name="CurMoBTDetail" localSheetId="6">#REF!</definedName>
    <definedName name="CurMoBTDetail" localSheetId="7">#REF!</definedName>
    <definedName name="CurMoBTDetail" localSheetId="9">#REF!</definedName>
    <definedName name="CurMoBTDetail" localSheetId="8">#REF!</definedName>
    <definedName name="CurMoBTDetail">#REF!</definedName>
    <definedName name="CurMoBuyThrgh_Sheet" localSheetId="5">#REF!</definedName>
    <definedName name="CurMoBuyThrgh_Sheet" localSheetId="6">#REF!</definedName>
    <definedName name="CurMoBuyThrgh_Sheet" localSheetId="7">#REF!</definedName>
    <definedName name="CurMoBuyThrgh_Sheet" localSheetId="9">#REF!</definedName>
    <definedName name="CurMoBuyThrgh_Sheet" localSheetId="8">#REF!</definedName>
    <definedName name="CurMoBuyThrgh_Sheet">#REF!</definedName>
    <definedName name="CurMoCityStZip" localSheetId="5">#REF!</definedName>
    <definedName name="CurMoCityStZip" localSheetId="6">#REF!</definedName>
    <definedName name="CurMoCityStZip" localSheetId="7">#REF!</definedName>
    <definedName name="CurMoCityStZip" localSheetId="9">#REF!</definedName>
    <definedName name="CurMoCityStZip" localSheetId="8">#REF!</definedName>
    <definedName name="CurMoCityStZip">#REF!</definedName>
    <definedName name="CurMoCustName" localSheetId="5">#REF!</definedName>
    <definedName name="CurMoCustName" localSheetId="6">#REF!</definedName>
    <definedName name="CurMoCustName" localSheetId="7">#REF!</definedName>
    <definedName name="CurMoCustName" localSheetId="9">#REF!</definedName>
    <definedName name="CurMoCustName" localSheetId="8">#REF!</definedName>
    <definedName name="CurMoCustName">#REF!</definedName>
    <definedName name="CurMoExcessAmt" localSheetId="5">#REF!</definedName>
    <definedName name="CurMoExcessAmt" localSheetId="6">#REF!</definedName>
    <definedName name="CurMoExcessAmt" localSheetId="7">#REF!</definedName>
    <definedName name="CurMoExcessAmt" localSheetId="9">#REF!</definedName>
    <definedName name="CurMoExcessAmt" localSheetId="8">#REF!</definedName>
    <definedName name="CurMoExcessAmt">#REF!</definedName>
    <definedName name="CurMoGrTaxAmt" localSheetId="5">#REF!</definedName>
    <definedName name="CurMoGrTaxAmt" localSheetId="6">#REF!</definedName>
    <definedName name="CurMoGrTaxAmt" localSheetId="7">#REF!</definedName>
    <definedName name="CurMoGrTaxAmt" localSheetId="9">#REF!</definedName>
    <definedName name="CurMoGrTaxAmt" localSheetId="8">#REF!</definedName>
    <definedName name="CurMoGrTaxAmt">#REF!</definedName>
    <definedName name="CurMoKWHExcess" localSheetId="5">#REF!</definedName>
    <definedName name="CurMoKWHExcess" localSheetId="6">#REF!</definedName>
    <definedName name="CurMoKWHExcess" localSheetId="7">#REF!</definedName>
    <definedName name="CurMoKWHExcess" localSheetId="9">#REF!</definedName>
    <definedName name="CurMoKWHExcess" localSheetId="8">#REF!</definedName>
    <definedName name="CurMoKWHExcess">#REF!</definedName>
    <definedName name="CurMoKWHNotUsed" localSheetId="5">#REF!</definedName>
    <definedName name="CurMoKWHNotUsed" localSheetId="6">#REF!</definedName>
    <definedName name="CurMoKWHNotUsed" localSheetId="7">#REF!</definedName>
    <definedName name="CurMoKWHNotUsed" localSheetId="9">#REF!</definedName>
    <definedName name="CurMoKWHNotUsed" localSheetId="8">#REF!</definedName>
    <definedName name="CurMoKWHNotUsed">#REF!</definedName>
    <definedName name="CurMoKWHRes" localSheetId="5">#REF!</definedName>
    <definedName name="CurMoKWHRes" localSheetId="6">#REF!</definedName>
    <definedName name="CurMoKWHRes" localSheetId="7">#REF!</definedName>
    <definedName name="CurMoKWHRes" localSheetId="9">#REF!</definedName>
    <definedName name="CurMoKWHRes" localSheetId="8">#REF!</definedName>
    <definedName name="CurMoKWHRes">#REF!</definedName>
    <definedName name="CurMoKWHSubTot" localSheetId="5">#REF!</definedName>
    <definedName name="CurMoKWHSubTot" localSheetId="6">#REF!</definedName>
    <definedName name="CurMoKWHSubTot" localSheetId="7">#REF!</definedName>
    <definedName name="CurMoKWHSubTot" localSheetId="9">#REF!</definedName>
    <definedName name="CurMoKWHSubTot" localSheetId="8">#REF!</definedName>
    <definedName name="CurMoKWHSubTot">#REF!</definedName>
    <definedName name="CurMoKWHTot" localSheetId="5">#REF!</definedName>
    <definedName name="CurMoKWHTot" localSheetId="6">#REF!</definedName>
    <definedName name="CurMoKWHTot" localSheetId="7">#REF!</definedName>
    <definedName name="CurMoKWHTot" localSheetId="9">#REF!</definedName>
    <definedName name="CurMoKWHTot" localSheetId="8">#REF!</definedName>
    <definedName name="CurMoKWHTot">#REF!</definedName>
    <definedName name="CurMoMtrMult" localSheetId="5">#REF!</definedName>
    <definedName name="CurMoMtrMult" localSheetId="6">#REF!</definedName>
    <definedName name="CurMoMtrMult" localSheetId="7">#REF!</definedName>
    <definedName name="CurMoMtrMult" localSheetId="9">#REF!</definedName>
    <definedName name="CurMoMtrMult" localSheetId="8">#REF!</definedName>
    <definedName name="CurMoMtrMult">#REF!</definedName>
    <definedName name="CurMoNotUsedAmt" localSheetId="5">#REF!</definedName>
    <definedName name="CurMoNotUsedAmt" localSheetId="6">#REF!</definedName>
    <definedName name="CurMoNotUsedAmt" localSheetId="7">#REF!</definedName>
    <definedName name="CurMoNotUsedAmt" localSheetId="9">#REF!</definedName>
    <definedName name="CurMoNotUsedAmt" localSheetId="8">#REF!</definedName>
    <definedName name="CurMoNotUsedAmt">#REF!</definedName>
    <definedName name="CurMoResAmt" localSheetId="5">#REF!</definedName>
    <definedName name="CurMoResAmt" localSheetId="6">#REF!</definedName>
    <definedName name="CurMoResAmt" localSheetId="7">#REF!</definedName>
    <definedName name="CurMoResAmt" localSheetId="9">#REF!</definedName>
    <definedName name="CurMoResAmt" localSheetId="8">#REF!</definedName>
    <definedName name="CurMoResAmt">#REF!</definedName>
    <definedName name="CurMoSubTotAmt" localSheetId="5">#REF!</definedName>
    <definedName name="CurMoSubTotAmt" localSheetId="6">#REF!</definedName>
    <definedName name="CurMoSubTotAmt" localSheetId="7">#REF!</definedName>
    <definedName name="CurMoSubTotAmt" localSheetId="9">#REF!</definedName>
    <definedName name="CurMoSubTotAmt" localSheetId="8">#REF!</definedName>
    <definedName name="CurMoSubTotAmt">#REF!</definedName>
    <definedName name="CurMoTotAmt" localSheetId="5">#REF!</definedName>
    <definedName name="CurMoTotAmt" localSheetId="6">#REF!</definedName>
    <definedName name="CurMoTotAmt" localSheetId="7">#REF!</definedName>
    <definedName name="CurMoTotAmt" localSheetId="9">#REF!</definedName>
    <definedName name="CurMoTotAmt" localSheetId="8">#REF!</definedName>
    <definedName name="CurMoTotAmt">#REF!</definedName>
    <definedName name="CurrYear" localSheetId="5">#REF!</definedName>
    <definedName name="CurrYear" localSheetId="6">#REF!</definedName>
    <definedName name="CurrYear" localSheetId="7">#REF!</definedName>
    <definedName name="CurrYear" localSheetId="9">#REF!</definedName>
    <definedName name="CurrYear" localSheetId="8">#REF!</definedName>
    <definedName name="CurrYear">#REF!</definedName>
    <definedName name="CustAddr1" localSheetId="5">#REF!</definedName>
    <definedName name="CustAddr1" localSheetId="6">#REF!</definedName>
    <definedName name="CustAddr1" localSheetId="7">#REF!</definedName>
    <definedName name="CustAddr1" localSheetId="9">#REF!</definedName>
    <definedName name="CustAddr1" localSheetId="8">#REF!</definedName>
    <definedName name="CustAddr1">#REF!</definedName>
    <definedName name="CustAddr2" localSheetId="5">#REF!</definedName>
    <definedName name="CustAddr2" localSheetId="6">#REF!</definedName>
    <definedName name="CustAddr2" localSheetId="7">#REF!</definedName>
    <definedName name="CustAddr2" localSheetId="9">#REF!</definedName>
    <definedName name="CustAddr2" localSheetId="8">#REF!</definedName>
    <definedName name="CustAddr2">#REF!</definedName>
    <definedName name="CUSTAR" localSheetId="2">#REF!</definedName>
    <definedName name="CUSTAR" localSheetId="9">#REF!</definedName>
    <definedName name="CUSTAR">#REF!</definedName>
    <definedName name="CustCityStZip" localSheetId="5">#REF!</definedName>
    <definedName name="CustCityStZip" localSheetId="6">#REF!</definedName>
    <definedName name="CustCityStZip" localSheetId="7">#REF!</definedName>
    <definedName name="CustCityStZip" localSheetId="9">#REF!</definedName>
    <definedName name="CustCityStZip" localSheetId="8">#REF!</definedName>
    <definedName name="CustCityStZip">#REF!</definedName>
    <definedName name="CustName2" localSheetId="5">#REF!</definedName>
    <definedName name="CustName2" localSheetId="6">#REF!</definedName>
    <definedName name="CustName2" localSheetId="7">#REF!</definedName>
    <definedName name="CustName2" localSheetId="9">#REF!</definedName>
    <definedName name="CustName2" localSheetId="8">#REF!</definedName>
    <definedName name="CustName2">#REF!</definedName>
    <definedName name="CustTable" localSheetId="5">#REF!</definedName>
    <definedName name="CustTable" localSheetId="6">#REF!</definedName>
    <definedName name="CustTable" localSheetId="7">#REF!</definedName>
    <definedName name="CustTable" localSheetId="9">#REF!</definedName>
    <definedName name="CustTable" localSheetId="8">#REF!</definedName>
    <definedName name="CustTable">#REF!</definedName>
    <definedName name="CUYAHOGA_FALLS" localSheetId="2">#REF!</definedName>
    <definedName name="CUYAHOGA_FALLS" localSheetId="9">#REF!</definedName>
    <definedName name="CUYAHOGA_FALLS">#REF!</definedName>
    <definedName name="DetailTotCbl" localSheetId="5">#REF!</definedName>
    <definedName name="DetailTotCbl" localSheetId="6">#REF!</definedName>
    <definedName name="DetailTotCbl" localSheetId="7">#REF!</definedName>
    <definedName name="DetailTotCbl" localSheetId="9">#REF!</definedName>
    <definedName name="DetailTotCbl" localSheetId="8">#REF!</definedName>
    <definedName name="DetailTotCbl">#REF!</definedName>
    <definedName name="DetailTotChg" localSheetId="5">#REF!</definedName>
    <definedName name="DetailTotChg" localSheetId="6">#REF!</definedName>
    <definedName name="DetailTotChg" localSheetId="7">#REF!</definedName>
    <definedName name="DetailTotChg" localSheetId="9">#REF!</definedName>
    <definedName name="DetailTotChg" localSheetId="8">#REF!</definedName>
    <definedName name="DetailTotChg">#REF!</definedName>
    <definedName name="DetailTotKw" localSheetId="5">#REF!</definedName>
    <definedName name="DetailTotKw" localSheetId="6">#REF!</definedName>
    <definedName name="DetailTotKw" localSheetId="7">#REF!</definedName>
    <definedName name="DetailTotKw" localSheetId="9">#REF!</definedName>
    <definedName name="DetailTotKw" localSheetId="8">#REF!</definedName>
    <definedName name="DetailTotKw">#REF!</definedName>
    <definedName name="DetailTotMargin" localSheetId="5">#REF!</definedName>
    <definedName name="DetailTotMargin" localSheetId="6">#REF!</definedName>
    <definedName name="DetailTotMargin" localSheetId="7">#REF!</definedName>
    <definedName name="DetailTotMargin" localSheetId="9">#REF!</definedName>
    <definedName name="DetailTotMargin" localSheetId="8">#REF!</definedName>
    <definedName name="DetailTotMargin">#REF!</definedName>
    <definedName name="DIRPCCHG" localSheetId="5">#REF!</definedName>
    <definedName name="DIRPCCHG" localSheetId="6">#REF!</definedName>
    <definedName name="DIRPCCHG" localSheetId="7">#REF!</definedName>
    <definedName name="DIRPCCHG" localSheetId="9">#REF!</definedName>
    <definedName name="DIRPCCHG" localSheetId="8">#REF!</definedName>
    <definedName name="DIRPCCHG">#REF!</definedName>
    <definedName name="DIRPDCHG1" localSheetId="5">#REF!</definedName>
    <definedName name="DIRPDCHG1" localSheetId="6">#REF!</definedName>
    <definedName name="DIRPDCHG1" localSheetId="7">#REF!</definedName>
    <definedName name="DIRPDCHG1" localSheetId="9">#REF!</definedName>
    <definedName name="DIRPDCHG1" localSheetId="8">#REF!</definedName>
    <definedName name="DIRPDCHG1">#REF!</definedName>
    <definedName name="DIRPDCHG2" localSheetId="5">#REF!</definedName>
    <definedName name="DIRPDCHG2" localSheetId="6">#REF!</definedName>
    <definedName name="DIRPDCHG2" localSheetId="7">#REF!</definedName>
    <definedName name="DIRPDCHG2" localSheetId="9">#REF!</definedName>
    <definedName name="DIRPDCHG2" localSheetId="8">#REF!</definedName>
    <definedName name="DIRPDCHG2">#REF!</definedName>
    <definedName name="DIRPECHG1" localSheetId="5">#REF!</definedName>
    <definedName name="DIRPECHG1" localSheetId="6">#REF!</definedName>
    <definedName name="DIRPECHG1" localSheetId="7">#REF!</definedName>
    <definedName name="DIRPECHG1" localSheetId="9">#REF!</definedName>
    <definedName name="DIRPECHG1" localSheetId="8">#REF!</definedName>
    <definedName name="DIRPECHG1">#REF!</definedName>
    <definedName name="DIRPECHGB1" localSheetId="5">#REF!</definedName>
    <definedName name="DIRPECHGB1" localSheetId="6">#REF!</definedName>
    <definedName name="DIRPECHGB1" localSheetId="7">#REF!</definedName>
    <definedName name="DIRPECHGB1" localSheetId="9">#REF!</definedName>
    <definedName name="DIRPECHGB1" localSheetId="8">#REF!</definedName>
    <definedName name="DIRPECHGB1">#REF!</definedName>
    <definedName name="DIRPECHGB2" localSheetId="5">#REF!</definedName>
    <definedName name="DIRPECHGB2" localSheetId="6">#REF!</definedName>
    <definedName name="DIRPECHGB2" localSheetId="7">#REF!</definedName>
    <definedName name="DIRPECHGB2" localSheetId="9">#REF!</definedName>
    <definedName name="DIRPECHGB2" localSheetId="8">#REF!</definedName>
    <definedName name="DIRPECHGB2">#REF!</definedName>
    <definedName name="DIRPECHGB3" localSheetId="5">#REF!</definedName>
    <definedName name="DIRPECHGB3" localSheetId="6">#REF!</definedName>
    <definedName name="DIRPECHGB3" localSheetId="7">#REF!</definedName>
    <definedName name="DIRPECHGB3" localSheetId="9">#REF!</definedName>
    <definedName name="DIRPECHGB3" localSheetId="8">#REF!</definedName>
    <definedName name="DIRPECHGB3">#REF!</definedName>
    <definedName name="DIRPMECHG1" localSheetId="5">#REF!</definedName>
    <definedName name="DIRPMECHG1" localSheetId="6">#REF!</definedName>
    <definedName name="DIRPMECHG1" localSheetId="7">#REF!</definedName>
    <definedName name="DIRPMECHG1" localSheetId="9">#REF!</definedName>
    <definedName name="DIRPMECHG1" localSheetId="8">#REF!</definedName>
    <definedName name="DIRPMECHG1">#REF!</definedName>
    <definedName name="DIRPMINDC" localSheetId="5">#REF!</definedName>
    <definedName name="DIRPMINDC" localSheetId="6">#REF!</definedName>
    <definedName name="DIRPMINDC" localSheetId="7">#REF!</definedName>
    <definedName name="DIRPMINDC" localSheetId="9">#REF!</definedName>
    <definedName name="DIRPMINDC" localSheetId="8">#REF!</definedName>
    <definedName name="DIRPMINDC">#REF!</definedName>
    <definedName name="DIRPMINEC" localSheetId="5">#REF!</definedName>
    <definedName name="DIRPMINEC" localSheetId="6">#REF!</definedName>
    <definedName name="DIRPMINEC" localSheetId="7">#REF!</definedName>
    <definedName name="DIRPMINEC" localSheetId="9">#REF!</definedName>
    <definedName name="DIRPMINEC" localSheetId="8">#REF!</definedName>
    <definedName name="DIRPMINEC">#REF!</definedName>
    <definedName name="DIRPOFKVA" localSheetId="5">#REF!</definedName>
    <definedName name="DIRPOFKVA" localSheetId="6">#REF!</definedName>
    <definedName name="DIRPOFKVA" localSheetId="7">#REF!</definedName>
    <definedName name="DIRPOFKVA" localSheetId="9">#REF!</definedName>
    <definedName name="DIRPOFKVA" localSheetId="8">#REF!</definedName>
    <definedName name="DIRPOFKVA">#REF!</definedName>
    <definedName name="DIRPOFKW" localSheetId="5">#REF!</definedName>
    <definedName name="DIRPOFKW" localSheetId="6">#REF!</definedName>
    <definedName name="DIRPOFKW" localSheetId="7">#REF!</definedName>
    <definedName name="DIRPOFKW" localSheetId="9">#REF!</definedName>
    <definedName name="DIRPOFKW" localSheetId="8">#REF!</definedName>
    <definedName name="DIRPOFKW">#REF!</definedName>
    <definedName name="DIRPOFKWH" localSheetId="5">#REF!</definedName>
    <definedName name="DIRPOFKWH" localSheetId="6">#REF!</definedName>
    <definedName name="DIRPOFKWH" localSheetId="7">#REF!</definedName>
    <definedName name="DIRPOFKWH" localSheetId="9">#REF!</definedName>
    <definedName name="DIRPOFKWH" localSheetId="8">#REF!</definedName>
    <definedName name="DIRPOFKWH">#REF!</definedName>
    <definedName name="DIRPOPKWH" localSheetId="5">#REF!</definedName>
    <definedName name="DIRPOPKWH" localSheetId="6">#REF!</definedName>
    <definedName name="DIRPOPKWH" localSheetId="7">#REF!</definedName>
    <definedName name="DIRPOPKWH" localSheetId="9">#REF!</definedName>
    <definedName name="DIRPOPKWH" localSheetId="8">#REF!</definedName>
    <definedName name="DIRPOPKWH">#REF!</definedName>
    <definedName name="DIRPP1EC" localSheetId="5">#REF!</definedName>
    <definedName name="DIRPP1EC" localSheetId="6">#REF!</definedName>
    <definedName name="DIRPP1EC" localSheetId="7">#REF!</definedName>
    <definedName name="DIRPP1EC" localSheetId="9">#REF!</definedName>
    <definedName name="DIRPP1EC" localSheetId="8">#REF!</definedName>
    <definedName name="DIRPP1EC">#REF!</definedName>
    <definedName name="DIRPP2EC" localSheetId="5">#REF!</definedName>
    <definedName name="DIRPP2EC" localSheetId="6">#REF!</definedName>
    <definedName name="DIRPP2EC" localSheetId="7">#REF!</definedName>
    <definedName name="DIRPP2EC" localSheetId="9">#REF!</definedName>
    <definedName name="DIRPP2EC" localSheetId="8">#REF!</definedName>
    <definedName name="DIRPP2EC">#REF!</definedName>
    <definedName name="DIRPP3EC" localSheetId="5">#REF!</definedName>
    <definedName name="DIRPP3EC" localSheetId="6">#REF!</definedName>
    <definedName name="DIRPP3EC" localSheetId="7">#REF!</definedName>
    <definedName name="DIRPP3EC" localSheetId="9">#REF!</definedName>
    <definedName name="DIRPP3EC" localSheetId="8">#REF!</definedName>
    <definedName name="DIRPP3EC">#REF!</definedName>
    <definedName name="DIRPP4EC" localSheetId="5">#REF!</definedName>
    <definedName name="DIRPP4EC" localSheetId="6">#REF!</definedName>
    <definedName name="DIRPP4EC" localSheetId="7">#REF!</definedName>
    <definedName name="DIRPP4EC" localSheetId="9">#REF!</definedName>
    <definedName name="DIRPP4EC" localSheetId="8">#REF!</definedName>
    <definedName name="DIRPP4EC">#REF!</definedName>
    <definedName name="DIRPP5EC" localSheetId="5">#REF!</definedName>
    <definedName name="DIRPP5EC" localSheetId="6">#REF!</definedName>
    <definedName name="DIRPP5EC" localSheetId="7">#REF!</definedName>
    <definedName name="DIRPP5EC" localSheetId="9">#REF!</definedName>
    <definedName name="DIRPP5EC" localSheetId="8">#REF!</definedName>
    <definedName name="DIRPP5EC">#REF!</definedName>
    <definedName name="DIRPRCHG" localSheetId="5">#REF!</definedName>
    <definedName name="DIRPRCHG" localSheetId="6">#REF!</definedName>
    <definedName name="DIRPRCHG" localSheetId="7">#REF!</definedName>
    <definedName name="DIRPRCHG" localSheetId="9">#REF!</definedName>
    <definedName name="DIRPRCHG" localSheetId="8">#REF!</definedName>
    <definedName name="DIRPRCHG">#REF!</definedName>
    <definedName name="DisBlkKwhChg1" localSheetId="5">#REF!</definedName>
    <definedName name="DisBlkKwhChg1" localSheetId="6">#REF!</definedName>
    <definedName name="DisBlkKwhChg1" localSheetId="7">#REF!</definedName>
    <definedName name="DisBlkKwhChg1" localSheetId="9">#REF!</definedName>
    <definedName name="DisBlkKwhChg1" localSheetId="8">#REF!</definedName>
    <definedName name="DisBlkKwhChg1">#REF!</definedName>
    <definedName name="DisBlkKwhChg2" localSheetId="5">#REF!</definedName>
    <definedName name="DisBlkKwhChg2" localSheetId="6">#REF!</definedName>
    <definedName name="DisBlkKwhChg2" localSheetId="7">#REF!</definedName>
    <definedName name="DisBlkKwhChg2" localSheetId="9">#REF!</definedName>
    <definedName name="DisBlkKwhChg2" localSheetId="8">#REF!</definedName>
    <definedName name="DisBlkKwhChg2">#REF!</definedName>
    <definedName name="DisBlkKwhChg3" localSheetId="5">#REF!</definedName>
    <definedName name="DisBlkKwhChg3" localSheetId="6">#REF!</definedName>
    <definedName name="DisBlkKwhChg3" localSheetId="7">#REF!</definedName>
    <definedName name="DisBlkKwhChg3" localSheetId="9">#REF!</definedName>
    <definedName name="DisBlkKwhChg3" localSheetId="8">#REF!</definedName>
    <definedName name="DisBlkKwhChg3">#REF!</definedName>
    <definedName name="DisBlkKwhChgT" localSheetId="5">#REF!</definedName>
    <definedName name="DisBlkKwhChgT" localSheetId="6">#REF!</definedName>
    <definedName name="DisBlkKwhChgT" localSheetId="7">#REF!</definedName>
    <definedName name="DisBlkKwhChgT" localSheetId="9">#REF!</definedName>
    <definedName name="DisBlkKwhChgT" localSheetId="8">#REF!</definedName>
    <definedName name="DisBlkKwhChgT">#REF!</definedName>
    <definedName name="DisCustChg" localSheetId="5">#REF!</definedName>
    <definedName name="DisCustChg" localSheetId="6">#REF!</definedName>
    <definedName name="DisCustChg" localSheetId="7">#REF!</definedName>
    <definedName name="DisCustChg" localSheetId="9">#REF!</definedName>
    <definedName name="DisCustChg" localSheetId="8">#REF!</definedName>
    <definedName name="DisCustChg">#REF!</definedName>
    <definedName name="DisDmdChg1" localSheetId="5">#REF!</definedName>
    <definedName name="DisDmdChg1" localSheetId="6">#REF!</definedName>
    <definedName name="DisDmdChg1" localSheetId="7">#REF!</definedName>
    <definedName name="DisDmdChg1" localSheetId="9">#REF!</definedName>
    <definedName name="DisDmdChg1" localSheetId="8">#REF!</definedName>
    <definedName name="DisDmdChg1">#REF!</definedName>
    <definedName name="DisDmdChg2" localSheetId="5">#REF!</definedName>
    <definedName name="DisDmdChg2" localSheetId="6">#REF!</definedName>
    <definedName name="DisDmdChg2" localSheetId="7">#REF!</definedName>
    <definedName name="DisDmdChg2" localSheetId="9">#REF!</definedName>
    <definedName name="DisDmdChg2" localSheetId="8">#REF!</definedName>
    <definedName name="DisDmdChg2">#REF!</definedName>
    <definedName name="DisMEChg" localSheetId="5">#REF!</definedName>
    <definedName name="DisMEChg" localSheetId="6">#REF!</definedName>
    <definedName name="DisMEChg" localSheetId="7">#REF!</definedName>
    <definedName name="DisMEChg" localSheetId="9">#REF!</definedName>
    <definedName name="DisMEChg" localSheetId="8">#REF!</definedName>
    <definedName name="DisMEChg">#REF!</definedName>
    <definedName name="DisMinDChg" localSheetId="5">#REF!</definedName>
    <definedName name="DisMinDChg" localSheetId="6">#REF!</definedName>
    <definedName name="DisMinDChg" localSheetId="7">#REF!</definedName>
    <definedName name="DisMinDChg" localSheetId="9">#REF!</definedName>
    <definedName name="DisMinDChg" localSheetId="8">#REF!</definedName>
    <definedName name="DisMinDChg">#REF!</definedName>
    <definedName name="DisMinEChg" localSheetId="5">#REF!</definedName>
    <definedName name="DisMinEChg" localSheetId="6">#REF!</definedName>
    <definedName name="DisMinEChg" localSheetId="7">#REF!</definedName>
    <definedName name="DisMinEChg" localSheetId="9">#REF!</definedName>
    <definedName name="DisMinEChg" localSheetId="8">#REF!</definedName>
    <definedName name="DisMinEChg">#REF!</definedName>
    <definedName name="DisOffPkKwh" localSheetId="5">#REF!</definedName>
    <definedName name="DisOffPkKwh" localSheetId="6">#REF!</definedName>
    <definedName name="DisOffPkKwh" localSheetId="7">#REF!</definedName>
    <definedName name="DisOffPkKwh" localSheetId="9">#REF!</definedName>
    <definedName name="DisOffPkKwh" localSheetId="8">#REF!</definedName>
    <definedName name="DisOffPkKwh">#REF!</definedName>
    <definedName name="DisOnPkKwh" localSheetId="5">#REF!</definedName>
    <definedName name="DisOnPkKwh" localSheetId="6">#REF!</definedName>
    <definedName name="DisOnPkKwh" localSheetId="7">#REF!</definedName>
    <definedName name="DisOnPkKwh" localSheetId="9">#REF!</definedName>
    <definedName name="DisOnPkKwh" localSheetId="8">#REF!</definedName>
    <definedName name="DisOnPkKwh">#REF!</definedName>
    <definedName name="DisPL1Chg" localSheetId="5">#REF!</definedName>
    <definedName name="DisPL1Chg" localSheetId="6">#REF!</definedName>
    <definedName name="DisPL1Chg" localSheetId="7">#REF!</definedName>
    <definedName name="DisPL1Chg" localSheetId="9">#REF!</definedName>
    <definedName name="DisPL1Chg" localSheetId="8">#REF!</definedName>
    <definedName name="DisPL1Chg">#REF!</definedName>
    <definedName name="DisPL2Chg" localSheetId="5">#REF!</definedName>
    <definedName name="DisPL2Chg" localSheetId="6">#REF!</definedName>
    <definedName name="DisPL2Chg" localSheetId="7">#REF!</definedName>
    <definedName name="DisPL2Chg" localSheetId="9">#REF!</definedName>
    <definedName name="DisPL2Chg" localSheetId="8">#REF!</definedName>
    <definedName name="DisPL2Chg">#REF!</definedName>
    <definedName name="DisPL3Chg" localSheetId="5">#REF!</definedName>
    <definedName name="DisPL3Chg" localSheetId="6">#REF!</definedName>
    <definedName name="DisPL3Chg" localSheetId="7">#REF!</definedName>
    <definedName name="DisPL3Chg" localSheetId="9">#REF!</definedName>
    <definedName name="DisPL3Chg" localSheetId="8">#REF!</definedName>
    <definedName name="DisPL3Chg">#REF!</definedName>
    <definedName name="DisPL4Chg" localSheetId="5">#REF!</definedName>
    <definedName name="DisPL4Chg" localSheetId="6">#REF!</definedName>
    <definedName name="DisPL4Chg" localSheetId="7">#REF!</definedName>
    <definedName name="DisPL4Chg" localSheetId="9">#REF!</definedName>
    <definedName name="DisPL4Chg" localSheetId="8">#REF!</definedName>
    <definedName name="DisPL4Chg">#REF!</definedName>
    <definedName name="DisPL5Chg" localSheetId="5">#REF!</definedName>
    <definedName name="DisPL5Chg" localSheetId="6">#REF!</definedName>
    <definedName name="DisPL5Chg" localSheetId="7">#REF!</definedName>
    <definedName name="DisPL5Chg" localSheetId="9">#REF!</definedName>
    <definedName name="DisPL5Chg" localSheetId="8">#REF!</definedName>
    <definedName name="DisPL5Chg">#REF!</definedName>
    <definedName name="DisReactiveChg" localSheetId="5">#REF!</definedName>
    <definedName name="DisReactiveChg" localSheetId="6">#REF!</definedName>
    <definedName name="DisReactiveChg" localSheetId="7">#REF!</definedName>
    <definedName name="DisReactiveChg" localSheetId="9">#REF!</definedName>
    <definedName name="DisReactiveChg" localSheetId="8">#REF!</definedName>
    <definedName name="DisReactiveChg">#REF!</definedName>
    <definedName name="DisXOfpKvaChg" localSheetId="5">#REF!</definedName>
    <definedName name="DisXOfpKvaChg" localSheetId="6">#REF!</definedName>
    <definedName name="DisXOfpKvaChg" localSheetId="7">#REF!</definedName>
    <definedName name="DisXOfpKvaChg" localSheetId="9">#REF!</definedName>
    <definedName name="DisXOfpKvaChg" localSheetId="8">#REF!</definedName>
    <definedName name="DisXOfpKvaChg">#REF!</definedName>
    <definedName name="DisXOfpKwChg" localSheetId="5">#REF!</definedName>
    <definedName name="DisXOfpKwChg" localSheetId="6">#REF!</definedName>
    <definedName name="DisXOfpKwChg" localSheetId="7">#REF!</definedName>
    <definedName name="DisXOfpKwChg" localSheetId="9">#REF!</definedName>
    <definedName name="DisXOfpKwChg" localSheetId="8">#REF!</definedName>
    <definedName name="DisXOfpKwChg">#REF!</definedName>
    <definedName name="DSTCCHG" localSheetId="5">#REF!</definedName>
    <definedName name="DSTCCHG" localSheetId="6">#REF!</definedName>
    <definedName name="DSTCCHG" localSheetId="7">#REF!</definedName>
    <definedName name="DSTCCHG" localSheetId="9">#REF!</definedName>
    <definedName name="DSTCCHG" localSheetId="8">#REF!</definedName>
    <definedName name="DSTCCHG">#REF!</definedName>
    <definedName name="DSTDCHG1" localSheetId="5">#REF!</definedName>
    <definedName name="DSTDCHG1" localSheetId="6">#REF!</definedName>
    <definedName name="DSTDCHG1" localSheetId="7">#REF!</definedName>
    <definedName name="DSTDCHG1" localSheetId="9">#REF!</definedName>
    <definedName name="DSTDCHG1" localSheetId="8">#REF!</definedName>
    <definedName name="DSTDCHG1">#REF!</definedName>
    <definedName name="DSTDCHG2" localSheetId="5">#REF!</definedName>
    <definedName name="DSTDCHG2" localSheetId="6">#REF!</definedName>
    <definedName name="DSTDCHG2" localSheetId="7">#REF!</definedName>
    <definedName name="DSTDCHG2" localSheetId="9">#REF!</definedName>
    <definedName name="DSTDCHG2" localSheetId="8">#REF!</definedName>
    <definedName name="DSTDCHG2">#REF!</definedName>
    <definedName name="DSTECHG1" localSheetId="5">#REF!</definedName>
    <definedName name="DSTECHG1" localSheetId="6">#REF!</definedName>
    <definedName name="DSTECHG1" localSheetId="7">#REF!</definedName>
    <definedName name="DSTECHG1" localSheetId="9">#REF!</definedName>
    <definedName name="DSTECHG1" localSheetId="8">#REF!</definedName>
    <definedName name="DSTECHG1">#REF!</definedName>
    <definedName name="DSTECHGB1" localSheetId="5">#REF!</definedName>
    <definedName name="DSTECHGB1" localSheetId="6">#REF!</definedName>
    <definedName name="DSTECHGB1" localSheetId="7">#REF!</definedName>
    <definedName name="DSTECHGB1" localSheetId="9">#REF!</definedName>
    <definedName name="DSTECHGB1" localSheetId="8">#REF!</definedName>
    <definedName name="DSTECHGB1">#REF!</definedName>
    <definedName name="DSTECHGB2" localSheetId="5">#REF!</definedName>
    <definedName name="DSTECHGB2" localSheetId="6">#REF!</definedName>
    <definedName name="DSTECHGB2" localSheetId="7">#REF!</definedName>
    <definedName name="DSTECHGB2" localSheetId="9">#REF!</definedName>
    <definedName name="DSTECHGB2" localSheetId="8">#REF!</definedName>
    <definedName name="DSTECHGB2">#REF!</definedName>
    <definedName name="DSTECHGB3" localSheetId="5">#REF!</definedName>
    <definedName name="DSTECHGB3" localSheetId="6">#REF!</definedName>
    <definedName name="DSTECHGB3" localSheetId="7">#REF!</definedName>
    <definedName name="DSTECHGB3" localSheetId="9">#REF!</definedName>
    <definedName name="DSTECHGB3" localSheetId="8">#REF!</definedName>
    <definedName name="DSTECHGB3">#REF!</definedName>
    <definedName name="DSTMECHG1" localSheetId="5">#REF!</definedName>
    <definedName name="DSTMECHG1" localSheetId="6">#REF!</definedName>
    <definedName name="DSTMECHG1" localSheetId="7">#REF!</definedName>
    <definedName name="DSTMECHG1" localSheetId="9">#REF!</definedName>
    <definedName name="DSTMECHG1" localSheetId="8">#REF!</definedName>
    <definedName name="DSTMECHG1">#REF!</definedName>
    <definedName name="DSTMINDC" localSheetId="5">#REF!</definedName>
    <definedName name="DSTMINDC" localSheetId="6">#REF!</definedName>
    <definedName name="DSTMINDC" localSheetId="7">#REF!</definedName>
    <definedName name="DSTMINDC" localSheetId="9">#REF!</definedName>
    <definedName name="DSTMINDC" localSheetId="8">#REF!</definedName>
    <definedName name="DSTMINDC">#REF!</definedName>
    <definedName name="DSTMINEC" localSheetId="5">#REF!</definedName>
    <definedName name="DSTMINEC" localSheetId="6">#REF!</definedName>
    <definedName name="DSTMINEC" localSheetId="7">#REF!</definedName>
    <definedName name="DSTMINEC" localSheetId="9">#REF!</definedName>
    <definedName name="DSTMINEC" localSheetId="8">#REF!</definedName>
    <definedName name="DSTMINEC">#REF!</definedName>
    <definedName name="DSTOFKWH" localSheetId="5">#REF!</definedName>
    <definedName name="DSTOFKWH" localSheetId="6">#REF!</definedName>
    <definedName name="DSTOFKWH" localSheetId="7">#REF!</definedName>
    <definedName name="DSTOFKWH" localSheetId="9">#REF!</definedName>
    <definedName name="DSTOFKWH" localSheetId="8">#REF!</definedName>
    <definedName name="DSTOFKWH">#REF!</definedName>
    <definedName name="DSTOPKWH" localSheetId="5">#REF!</definedName>
    <definedName name="DSTOPKWH" localSheetId="6">#REF!</definedName>
    <definedName name="DSTOPKWH" localSheetId="7">#REF!</definedName>
    <definedName name="DSTOPKWH" localSheetId="9">#REF!</definedName>
    <definedName name="DSTOPKWH" localSheetId="8">#REF!</definedName>
    <definedName name="DSTOPKWH">#REF!</definedName>
    <definedName name="DSTP1EC" localSheetId="5">#REF!</definedName>
    <definedName name="DSTP1EC" localSheetId="6">#REF!</definedName>
    <definedName name="DSTP1EC" localSheetId="7">#REF!</definedName>
    <definedName name="DSTP1EC" localSheetId="9">#REF!</definedName>
    <definedName name="DSTP1EC" localSheetId="8">#REF!</definedName>
    <definedName name="DSTP1EC">#REF!</definedName>
    <definedName name="DSTP2EC" localSheetId="5">#REF!</definedName>
    <definedName name="DSTP2EC" localSheetId="6">#REF!</definedName>
    <definedName name="DSTP2EC" localSheetId="7">#REF!</definedName>
    <definedName name="DSTP2EC" localSheetId="9">#REF!</definedName>
    <definedName name="DSTP2EC" localSheetId="8">#REF!</definedName>
    <definedName name="DSTP2EC">#REF!</definedName>
    <definedName name="DSTP3EC" localSheetId="5">#REF!</definedName>
    <definedName name="DSTP3EC" localSheetId="6">#REF!</definedName>
    <definedName name="DSTP3EC" localSheetId="7">#REF!</definedName>
    <definedName name="DSTP3EC" localSheetId="9">#REF!</definedName>
    <definedName name="DSTP3EC" localSheetId="8">#REF!</definedName>
    <definedName name="DSTP3EC">#REF!</definedName>
    <definedName name="DSTP4EC" localSheetId="5">#REF!</definedName>
    <definedName name="DSTP4EC" localSheetId="6">#REF!</definedName>
    <definedName name="DSTP4EC" localSheetId="7">#REF!</definedName>
    <definedName name="DSTP4EC" localSheetId="9">#REF!</definedName>
    <definedName name="DSTP4EC" localSheetId="8">#REF!</definedName>
    <definedName name="DSTP4EC">#REF!</definedName>
    <definedName name="DSTP5EC" localSheetId="5">#REF!</definedName>
    <definedName name="DSTP5EC" localSheetId="6">#REF!</definedName>
    <definedName name="DSTP5EC" localSheetId="7">#REF!</definedName>
    <definedName name="DSTP5EC" localSheetId="9">#REF!</definedName>
    <definedName name="DSTP5EC" localSheetId="8">#REF!</definedName>
    <definedName name="DSTP5EC">#REF!</definedName>
    <definedName name="DSTRCHG" localSheetId="5">#REF!</definedName>
    <definedName name="DSTRCHG" localSheetId="6">#REF!</definedName>
    <definedName name="DSTRCHG" localSheetId="7">#REF!</definedName>
    <definedName name="DSTRCHG" localSheetId="9">#REF!</definedName>
    <definedName name="DSTRCHG" localSheetId="8">#REF!</definedName>
    <definedName name="DSTRCHG">#REF!</definedName>
    <definedName name="DSTXOFKVA" localSheetId="5">#REF!</definedName>
    <definedName name="DSTXOFKVA" localSheetId="6">#REF!</definedName>
    <definedName name="DSTXOFKVA" localSheetId="7">#REF!</definedName>
    <definedName name="DSTXOFKVA" localSheetId="9">#REF!</definedName>
    <definedName name="DSTXOFKVA" localSheetId="8">#REF!</definedName>
    <definedName name="DSTXOFKVA">#REF!</definedName>
    <definedName name="DSTXOFKW" localSheetId="5">#REF!</definedName>
    <definedName name="DSTXOFKW" localSheetId="6">#REF!</definedName>
    <definedName name="DSTXOFKW" localSheetId="7">#REF!</definedName>
    <definedName name="DSTXOFKW" localSheetId="9">#REF!</definedName>
    <definedName name="DSTXOFKW" localSheetId="8">#REF!</definedName>
    <definedName name="DSTXOFKW">#REF!</definedName>
    <definedName name="EDGERTON" localSheetId="2">#REF!</definedName>
    <definedName name="EDGERTON" localSheetId="9">#REF!</definedName>
    <definedName name="EDGERTON">#REF!</definedName>
    <definedName name="EDRBASE" localSheetId="5">#REF!</definedName>
    <definedName name="EDRBASE" localSheetId="6">#REF!</definedName>
    <definedName name="EDRBASE" localSheetId="7">#REF!</definedName>
    <definedName name="EDRBASE" localSheetId="9">#REF!</definedName>
    <definedName name="EDRBASE" localSheetId="8">#REF!</definedName>
    <definedName name="EDRBASE">#REF!</definedName>
    <definedName name="EDRDATE" localSheetId="5">#REF!</definedName>
    <definedName name="EDRDATE" localSheetId="6">#REF!</definedName>
    <definedName name="EDRDATE" localSheetId="7">#REF!</definedName>
    <definedName name="EDRDATE" localSheetId="9">#REF!</definedName>
    <definedName name="EDRDATE" localSheetId="8">#REF!</definedName>
    <definedName name="EDRDATE">#REF!</definedName>
    <definedName name="EDRDSCNT" localSheetId="5">#REF!</definedName>
    <definedName name="EDRDSCNT" localSheetId="6">#REF!</definedName>
    <definedName name="EDRDSCNT" localSheetId="7">#REF!</definedName>
    <definedName name="EDRDSCNT" localSheetId="9">#REF!</definedName>
    <definedName name="EDRDSCNT" localSheetId="8">#REF!</definedName>
    <definedName name="EDRDSCNT">#REF!</definedName>
    <definedName name="EDRLVLPCT" localSheetId="5">#REF!</definedName>
    <definedName name="EDRLVLPCT" localSheetId="6">#REF!</definedName>
    <definedName name="EDRLVLPCT" localSheetId="7">#REF!</definedName>
    <definedName name="EDRLVLPCT" localSheetId="9">#REF!</definedName>
    <definedName name="EDRLVLPCT" localSheetId="8">#REF!</definedName>
    <definedName name="EDRLVLPCT">#REF!</definedName>
    <definedName name="EDRTYPE" localSheetId="5">#REF!</definedName>
    <definedName name="EDRTYPE" localSheetId="6">#REF!</definedName>
    <definedName name="EDRTYPE" localSheetId="7">#REF!</definedName>
    <definedName name="EDRTYPE" localSheetId="9">#REF!</definedName>
    <definedName name="EDRTYPE" localSheetId="8">#REF!</definedName>
    <definedName name="EDRTYPE">#REF!</definedName>
    <definedName name="EffDate" localSheetId="5">#REF!</definedName>
    <definedName name="EffDate" localSheetId="6">#REF!</definedName>
    <definedName name="EffDate" localSheetId="7">#REF!</definedName>
    <definedName name="EffDate" localSheetId="9">#REF!</definedName>
    <definedName name="EffDate" localSheetId="8">#REF!</definedName>
    <definedName name="EffDate">#REF!</definedName>
    <definedName name="ELKMCGN1" localSheetId="5">#REF!</definedName>
    <definedName name="ELKMCGN1" localSheetId="6">#REF!</definedName>
    <definedName name="ELKMCGN1" localSheetId="7">#REF!</definedName>
    <definedName name="ELKMCGN1" localSheetId="9">#REF!</definedName>
    <definedName name="ELKMCGN1" localSheetId="8">#REF!</definedName>
    <definedName name="ELKMCGN1">#REF!</definedName>
    <definedName name="ELKMCGN2" localSheetId="5">#REF!</definedName>
    <definedName name="ELKMCGN2" localSheetId="6">#REF!</definedName>
    <definedName name="ELKMCGN2" localSheetId="7">#REF!</definedName>
    <definedName name="ELKMCGN2" localSheetId="9">#REF!</definedName>
    <definedName name="ELKMCGN2" localSheetId="8">#REF!</definedName>
    <definedName name="ELKMCGN2">#REF!</definedName>
    <definedName name="Ellwood_City" localSheetId="2">#REF!</definedName>
    <definedName name="Ellwood_City" localSheetId="9">#REF!</definedName>
    <definedName name="Ellwood_City">#REF!</definedName>
    <definedName name="ELMORE" localSheetId="2">#REF!</definedName>
    <definedName name="ELMORE" localSheetId="9">#REF!</definedName>
    <definedName name="ELMORE">#REF!</definedName>
    <definedName name="ENDDTM" localSheetId="5">#REF!</definedName>
    <definedName name="ENDDTM" localSheetId="6">#REF!</definedName>
    <definedName name="ENDDTM" localSheetId="7">#REF!</definedName>
    <definedName name="ENDDTM" localSheetId="9">#REF!</definedName>
    <definedName name="ENDDTM" localSheetId="8">#REF!</definedName>
    <definedName name="ENDDTM">#REF!</definedName>
    <definedName name="ENDTIME" localSheetId="5">#REF!</definedName>
    <definedName name="ENDTIME" localSheetId="6">#REF!</definedName>
    <definedName name="ENDTIME" localSheetId="7">#REF!</definedName>
    <definedName name="ENDTIME" localSheetId="9">#REF!</definedName>
    <definedName name="ENDTIME" localSheetId="8">#REF!</definedName>
    <definedName name="ENDTIME">#REF!</definedName>
    <definedName name="EstExcessAmt" localSheetId="5">#REF!</definedName>
    <definedName name="EstExcessAmt" localSheetId="6">#REF!</definedName>
    <definedName name="EstExcessAmt" localSheetId="7">#REF!</definedName>
    <definedName name="EstExcessAmt" localSheetId="9">#REF!</definedName>
    <definedName name="EstExcessAmt" localSheetId="8">#REF!</definedName>
    <definedName name="EstExcessAmt">#REF!</definedName>
    <definedName name="EstGrTaxAmt" localSheetId="5">#REF!</definedName>
    <definedName name="EstGrTaxAmt" localSheetId="6">#REF!</definedName>
    <definedName name="EstGrTaxAmt" localSheetId="7">#REF!</definedName>
    <definedName name="EstGrTaxAmt" localSheetId="9">#REF!</definedName>
    <definedName name="EstGrTaxAmt" localSheetId="8">#REF!</definedName>
    <definedName name="EstGrTaxAmt">#REF!</definedName>
    <definedName name="EstKWHExcess" localSheetId="5">#REF!</definedName>
    <definedName name="EstKWHExcess" localSheetId="6">#REF!</definedName>
    <definedName name="EstKWHExcess" localSheetId="7">#REF!</definedName>
    <definedName name="EstKWHExcess" localSheetId="9">#REF!</definedName>
    <definedName name="EstKWHExcess" localSheetId="8">#REF!</definedName>
    <definedName name="EstKWHExcess">#REF!</definedName>
    <definedName name="EstKWHNotUsed" localSheetId="5">#REF!</definedName>
    <definedName name="EstKWHNotUsed" localSheetId="6">#REF!</definedName>
    <definedName name="EstKWHNotUsed" localSheetId="7">#REF!</definedName>
    <definedName name="EstKWHNotUsed" localSheetId="9">#REF!</definedName>
    <definedName name="EstKWHNotUsed" localSheetId="8">#REF!</definedName>
    <definedName name="EstKWHNotUsed">#REF!</definedName>
    <definedName name="EstKWHRes" localSheetId="5">#REF!</definedName>
    <definedName name="EstKWHRes" localSheetId="6">#REF!</definedName>
    <definedName name="EstKWHRes" localSheetId="7">#REF!</definedName>
    <definedName name="EstKWHRes" localSheetId="9">#REF!</definedName>
    <definedName name="EstKWHRes" localSheetId="8">#REF!</definedName>
    <definedName name="EstKWHRes">#REF!</definedName>
    <definedName name="EstKWHSubTot" localSheetId="5">#REF!</definedName>
    <definedName name="EstKWHSubTot" localSheetId="6">#REF!</definedName>
    <definedName name="EstKWHSubTot" localSheetId="7">#REF!</definedName>
    <definedName name="EstKWHSubTot" localSheetId="9">#REF!</definedName>
    <definedName name="EstKWHSubTot" localSheetId="8">#REF!</definedName>
    <definedName name="EstKWHSubTot">#REF!</definedName>
    <definedName name="EstKWHTot" localSheetId="5">#REF!</definedName>
    <definedName name="EstKWHTot" localSheetId="6">#REF!</definedName>
    <definedName name="EstKWHTot" localSheetId="7">#REF!</definedName>
    <definedName name="EstKWHTot" localSheetId="9">#REF!</definedName>
    <definedName name="EstKWHTot" localSheetId="8">#REF!</definedName>
    <definedName name="EstKWHTot">#REF!</definedName>
    <definedName name="EstNotUsedAmt" localSheetId="5">#REF!</definedName>
    <definedName name="EstNotUsedAmt" localSheetId="6">#REF!</definedName>
    <definedName name="EstNotUsedAmt" localSheetId="7">#REF!</definedName>
    <definedName name="EstNotUsedAmt" localSheetId="9">#REF!</definedName>
    <definedName name="EstNotUsedAmt" localSheetId="8">#REF!</definedName>
    <definedName name="EstNotUsedAmt">#REF!</definedName>
    <definedName name="EstResAmt" localSheetId="5">#REF!</definedName>
    <definedName name="EstResAmt" localSheetId="6">#REF!</definedName>
    <definedName name="EstResAmt" localSheetId="7">#REF!</definedName>
    <definedName name="EstResAmt" localSheetId="9">#REF!</definedName>
    <definedName name="EstResAmt" localSheetId="8">#REF!</definedName>
    <definedName name="EstResAmt">#REF!</definedName>
    <definedName name="EstSubTotAmt" localSheetId="5">#REF!</definedName>
    <definedName name="EstSubTotAmt" localSheetId="6">#REF!</definedName>
    <definedName name="EstSubTotAmt" localSheetId="7">#REF!</definedName>
    <definedName name="EstSubTotAmt" localSheetId="9">#REF!</definedName>
    <definedName name="EstSubTotAmt" localSheetId="8">#REF!</definedName>
    <definedName name="EstSubTotAmt">#REF!</definedName>
    <definedName name="EstTotAmt" localSheetId="5">#REF!</definedName>
    <definedName name="EstTotAmt" localSheetId="6">#REF!</definedName>
    <definedName name="EstTotAmt" localSheetId="7">#REF!</definedName>
    <definedName name="EstTotAmt" localSheetId="9">#REF!</definedName>
    <definedName name="EstTotAmt" localSheetId="8">#REF!</definedName>
    <definedName name="EstTotAmt">#REF!</definedName>
    <definedName name="etec">#REF!</definedName>
    <definedName name="EXCSKVACHG" localSheetId="5">#REF!</definedName>
    <definedName name="EXCSKVACHG" localSheetId="6">#REF!</definedName>
    <definedName name="EXCSKVACHG" localSheetId="7">#REF!</definedName>
    <definedName name="EXCSKVACHG" localSheetId="9">#REF!</definedName>
    <definedName name="EXCSKVACHG" localSheetId="8">#REF!</definedName>
    <definedName name="EXCSKVACHG">#REF!</definedName>
    <definedName name="EXCSKVADMND" localSheetId="5">#REF!</definedName>
    <definedName name="EXCSKVADMND" localSheetId="6">#REF!</definedName>
    <definedName name="EXCSKVADMND" localSheetId="7">#REF!</definedName>
    <definedName name="EXCSKVADMND" localSheetId="9">#REF!</definedName>
    <definedName name="EXCSKVADMND" localSheetId="8">#REF!</definedName>
    <definedName name="EXCSKVADMND">#REF!</definedName>
    <definedName name="EXCSKVAR" localSheetId="5">#REF!</definedName>
    <definedName name="EXCSKVAR" localSheetId="6">#REF!</definedName>
    <definedName name="EXCSKVAR" localSheetId="7">#REF!</definedName>
    <definedName name="EXCSKVAR" localSheetId="9">#REF!</definedName>
    <definedName name="EXCSKVAR" localSheetId="8">#REF!</definedName>
    <definedName name="EXCSKVAR">#REF!</definedName>
    <definedName name="fake">#REF!</definedName>
    <definedName name="FIRMKWH" localSheetId="5">#REF!</definedName>
    <definedName name="FIRMKWH" localSheetId="6">#REF!</definedName>
    <definedName name="FIRMKWH" localSheetId="7">#REF!</definedName>
    <definedName name="FIRMKWH" localSheetId="9">#REF!</definedName>
    <definedName name="FIRMKWH" localSheetId="8">#REF!</definedName>
    <definedName name="FIRMKWH">#REF!</definedName>
    <definedName name="FIRSTDAY" localSheetId="5">#REF!</definedName>
    <definedName name="FIRSTDAY" localSheetId="6">#REF!</definedName>
    <definedName name="FIRSTDAY" localSheetId="7">#REF!</definedName>
    <definedName name="FIRSTDAY" localSheetId="9">#REF!</definedName>
    <definedName name="FIRSTDAY" localSheetId="8">#REF!</definedName>
    <definedName name="FIRSTDAY">#REF!</definedName>
    <definedName name="FRMCPCT" localSheetId="5">#REF!</definedName>
    <definedName name="FRMCPCT" localSheetId="6">#REF!</definedName>
    <definedName name="FRMCPCT" localSheetId="7">#REF!</definedName>
    <definedName name="FRMCPCT" localSheetId="9">#REF!</definedName>
    <definedName name="FRMCPCT" localSheetId="8">#REF!</definedName>
    <definedName name="FRMCPCT">#REF!</definedName>
    <definedName name="FUELCHG" localSheetId="5">#REF!</definedName>
    <definedName name="FUELCHG" localSheetId="6">#REF!</definedName>
    <definedName name="FUELCHG" localSheetId="7">#REF!</definedName>
    <definedName name="FUELCHG" localSheetId="9">#REF!</definedName>
    <definedName name="FUELCHG" localSheetId="8">#REF!</definedName>
    <definedName name="FUELCHG">#REF!</definedName>
    <definedName name="FUELRATE" localSheetId="5">#REF!</definedName>
    <definedName name="FUELRATE" localSheetId="6">#REF!</definedName>
    <definedName name="FUELRATE" localSheetId="7">#REF!</definedName>
    <definedName name="FUELRATE" localSheetId="9">#REF!</definedName>
    <definedName name="FUELRATE" localSheetId="8">#REF!</definedName>
    <definedName name="FUELRATE">#REF!</definedName>
    <definedName name="GALION" localSheetId="2">#REF!</definedName>
    <definedName name="GALION" localSheetId="9">#REF!</definedName>
    <definedName name="GALION">#REF!</definedName>
    <definedName name="GenBlkKwhChg1" localSheetId="5">#REF!</definedName>
    <definedName name="GenBlkKwhChg1" localSheetId="6">#REF!</definedName>
    <definedName name="GenBlkKwhChg1" localSheetId="7">#REF!</definedName>
    <definedName name="GenBlkKwhChg1" localSheetId="9">#REF!</definedName>
    <definedName name="GenBlkKwhChg1" localSheetId="8">#REF!</definedName>
    <definedName name="GenBlkKwhChg1">#REF!</definedName>
    <definedName name="GenBlkKwhChg2" localSheetId="5">#REF!</definedName>
    <definedName name="GenBlkKwhChg2" localSheetId="6">#REF!</definedName>
    <definedName name="GenBlkKwhChg2" localSheetId="7">#REF!</definedName>
    <definedName name="GenBlkKwhChg2" localSheetId="9">#REF!</definedName>
    <definedName name="GenBlkKwhChg2" localSheetId="8">#REF!</definedName>
    <definedName name="GenBlkKwhChg2">#REF!</definedName>
    <definedName name="GenBlkKwhChg3" localSheetId="5">#REF!</definedName>
    <definedName name="GenBlkKwhChg3" localSheetId="6">#REF!</definedName>
    <definedName name="GenBlkKwhChg3" localSheetId="7">#REF!</definedName>
    <definedName name="GenBlkKwhChg3" localSheetId="9">#REF!</definedName>
    <definedName name="GenBlkKwhChg3" localSheetId="8">#REF!</definedName>
    <definedName name="GenBlkKwhChg3">#REF!</definedName>
    <definedName name="GenBlkKwhChgT" localSheetId="5">#REF!</definedName>
    <definedName name="GenBlkKwhChgT" localSheetId="6">#REF!</definedName>
    <definedName name="GenBlkKwhChgT" localSheetId="7">#REF!</definedName>
    <definedName name="GenBlkKwhChgT" localSheetId="9">#REF!</definedName>
    <definedName name="GenBlkKwhChgT" localSheetId="8">#REF!</definedName>
    <definedName name="GenBlkKwhChgT">#REF!</definedName>
    <definedName name="GENCCHG" localSheetId="5">#REF!</definedName>
    <definedName name="GENCCHG" localSheetId="6">#REF!</definedName>
    <definedName name="GENCCHG" localSheetId="7">#REF!</definedName>
    <definedName name="GENCCHG" localSheetId="9">#REF!</definedName>
    <definedName name="GENCCHG" localSheetId="8">#REF!</definedName>
    <definedName name="GENCCHG">#REF!</definedName>
    <definedName name="GenCustChg" localSheetId="5">#REF!</definedName>
    <definedName name="GenCustChg" localSheetId="6">#REF!</definedName>
    <definedName name="GenCustChg" localSheetId="7">#REF!</definedName>
    <definedName name="GenCustChg" localSheetId="9">#REF!</definedName>
    <definedName name="GenCustChg" localSheetId="8">#REF!</definedName>
    <definedName name="GenCustChg">#REF!</definedName>
    <definedName name="GENDCHG1" localSheetId="5">#REF!</definedName>
    <definedName name="GENDCHG1" localSheetId="6">#REF!</definedName>
    <definedName name="GENDCHG1" localSheetId="7">#REF!</definedName>
    <definedName name="GENDCHG1" localSheetId="9">#REF!</definedName>
    <definedName name="GENDCHG1" localSheetId="8">#REF!</definedName>
    <definedName name="GENDCHG1">#REF!</definedName>
    <definedName name="GENDCHG2" localSheetId="5">#REF!</definedName>
    <definedName name="GENDCHG2" localSheetId="6">#REF!</definedName>
    <definedName name="GENDCHG2" localSheetId="7">#REF!</definedName>
    <definedName name="GENDCHG2" localSheetId="9">#REF!</definedName>
    <definedName name="GENDCHG2" localSheetId="8">#REF!</definedName>
    <definedName name="GENDCHG2">#REF!</definedName>
    <definedName name="GenDmdChg1" localSheetId="5">#REF!</definedName>
    <definedName name="GenDmdChg1" localSheetId="6">#REF!</definedName>
    <definedName name="GenDmdChg1" localSheetId="7">#REF!</definedName>
    <definedName name="GenDmdChg1" localSheetId="9">#REF!</definedName>
    <definedName name="GenDmdChg1" localSheetId="8">#REF!</definedName>
    <definedName name="GenDmdChg1">#REF!</definedName>
    <definedName name="GenDmdChg2" localSheetId="5">#REF!</definedName>
    <definedName name="GenDmdChg2" localSheetId="6">#REF!</definedName>
    <definedName name="GenDmdChg2" localSheetId="7">#REF!</definedName>
    <definedName name="GenDmdChg2" localSheetId="9">#REF!</definedName>
    <definedName name="GenDmdChg2" localSheetId="8">#REF!</definedName>
    <definedName name="GenDmdChg2">#REF!</definedName>
    <definedName name="GENECHG1" localSheetId="5">#REF!</definedName>
    <definedName name="GENECHG1" localSheetId="6">#REF!</definedName>
    <definedName name="GENECHG1" localSheetId="7">#REF!</definedName>
    <definedName name="GENECHG1" localSheetId="9">#REF!</definedName>
    <definedName name="GENECHG1" localSheetId="8">#REF!</definedName>
    <definedName name="GENECHG1">#REF!</definedName>
    <definedName name="GENECHGB1" localSheetId="5">#REF!</definedName>
    <definedName name="GENECHGB1" localSheetId="6">#REF!</definedName>
    <definedName name="GENECHGB1" localSheetId="7">#REF!</definedName>
    <definedName name="GENECHGB1" localSheetId="9">#REF!</definedName>
    <definedName name="GENECHGB1" localSheetId="8">#REF!</definedName>
    <definedName name="GENECHGB1">#REF!</definedName>
    <definedName name="GENECHGB2" localSheetId="5">#REF!</definedName>
    <definedName name="GENECHGB2" localSheetId="6">#REF!</definedName>
    <definedName name="GENECHGB2" localSheetId="7">#REF!</definedName>
    <definedName name="GENECHGB2" localSheetId="9">#REF!</definedName>
    <definedName name="GENECHGB2" localSheetId="8">#REF!</definedName>
    <definedName name="GENECHGB2">#REF!</definedName>
    <definedName name="GENECHGB3" localSheetId="5">#REF!</definedName>
    <definedName name="GENECHGB3" localSheetId="6">#REF!</definedName>
    <definedName name="GENECHGB3" localSheetId="7">#REF!</definedName>
    <definedName name="GENECHGB3" localSheetId="9">#REF!</definedName>
    <definedName name="GENECHGB3" localSheetId="8">#REF!</definedName>
    <definedName name="GENECHGB3">#REF!</definedName>
    <definedName name="GenMEChg" localSheetId="5">#REF!</definedName>
    <definedName name="GenMEChg" localSheetId="6">#REF!</definedName>
    <definedName name="GenMEChg" localSheetId="7">#REF!</definedName>
    <definedName name="GenMEChg" localSheetId="9">#REF!</definedName>
    <definedName name="GenMEChg" localSheetId="8">#REF!</definedName>
    <definedName name="GenMEChg">#REF!</definedName>
    <definedName name="GENMECHG1" localSheetId="5">#REF!</definedName>
    <definedName name="GENMECHG1" localSheetId="6">#REF!</definedName>
    <definedName name="GENMECHG1" localSheetId="7">#REF!</definedName>
    <definedName name="GENMECHG1" localSheetId="9">#REF!</definedName>
    <definedName name="GENMECHG1" localSheetId="8">#REF!</definedName>
    <definedName name="GENMECHG1">#REF!</definedName>
    <definedName name="GENMINDC" localSheetId="5">#REF!</definedName>
    <definedName name="GENMINDC" localSheetId="6">#REF!</definedName>
    <definedName name="GENMINDC" localSheetId="7">#REF!</definedName>
    <definedName name="GENMINDC" localSheetId="9">#REF!</definedName>
    <definedName name="GENMINDC" localSheetId="8">#REF!</definedName>
    <definedName name="GENMINDC">#REF!</definedName>
    <definedName name="GenMinDChg" localSheetId="5">#REF!</definedName>
    <definedName name="GenMinDChg" localSheetId="6">#REF!</definedName>
    <definedName name="GenMinDChg" localSheetId="7">#REF!</definedName>
    <definedName name="GenMinDChg" localSheetId="9">#REF!</definedName>
    <definedName name="GenMinDChg" localSheetId="8">#REF!</definedName>
    <definedName name="GenMinDChg">#REF!</definedName>
    <definedName name="GENMINEC" localSheetId="5">#REF!</definedName>
    <definedName name="GENMINEC" localSheetId="6">#REF!</definedName>
    <definedName name="GENMINEC" localSheetId="7">#REF!</definedName>
    <definedName name="GENMINEC" localSheetId="9">#REF!</definedName>
    <definedName name="GENMINEC" localSheetId="8">#REF!</definedName>
    <definedName name="GENMINEC">#REF!</definedName>
    <definedName name="GenMinEChg" localSheetId="5">#REF!</definedName>
    <definedName name="GenMinEChg" localSheetId="6">#REF!</definedName>
    <definedName name="GenMinEChg" localSheetId="7">#REF!</definedName>
    <definedName name="GenMinEChg" localSheetId="9">#REF!</definedName>
    <definedName name="GenMinEChg" localSheetId="8">#REF!</definedName>
    <definedName name="GenMinEChg">#REF!</definedName>
    <definedName name="GENOA" localSheetId="2">#REF!</definedName>
    <definedName name="GENOA" localSheetId="9">#REF!</definedName>
    <definedName name="GENOA">#REF!</definedName>
    <definedName name="GENOA_NORTH" localSheetId="2">#REF!</definedName>
    <definedName name="GENOA_NORTH" localSheetId="9">#REF!</definedName>
    <definedName name="GENOA_NORTH">#REF!</definedName>
    <definedName name="GENOA_SOUTH" localSheetId="2">#REF!</definedName>
    <definedName name="GENOA_SOUTH" localSheetId="9">#REF!</definedName>
    <definedName name="GENOA_SOUTH">#REF!</definedName>
    <definedName name="GenOffPkKwh" localSheetId="5">#REF!</definedName>
    <definedName name="GenOffPkKwh" localSheetId="6">#REF!</definedName>
    <definedName name="GenOffPkKwh" localSheetId="7">#REF!</definedName>
    <definedName name="GenOffPkKwh" localSheetId="9">#REF!</definedName>
    <definedName name="GenOffPkKwh" localSheetId="8">#REF!</definedName>
    <definedName name="GenOffPkKwh">#REF!</definedName>
    <definedName name="GENOFKWH" localSheetId="5">#REF!</definedName>
    <definedName name="GENOFKWH" localSheetId="6">#REF!</definedName>
    <definedName name="GENOFKWH" localSheetId="7">#REF!</definedName>
    <definedName name="GENOFKWH" localSheetId="9">#REF!</definedName>
    <definedName name="GENOFKWH" localSheetId="8">#REF!</definedName>
    <definedName name="GENOFKWH">#REF!</definedName>
    <definedName name="GenOnPkKwh" localSheetId="5">#REF!</definedName>
    <definedName name="GenOnPkKwh" localSheetId="6">#REF!</definedName>
    <definedName name="GenOnPkKwh" localSheetId="7">#REF!</definedName>
    <definedName name="GenOnPkKwh" localSheetId="9">#REF!</definedName>
    <definedName name="GenOnPkKwh" localSheetId="8">#REF!</definedName>
    <definedName name="GenOnPkKwh">#REF!</definedName>
    <definedName name="GENOPKWH" localSheetId="5">#REF!</definedName>
    <definedName name="GENOPKWH" localSheetId="6">#REF!</definedName>
    <definedName name="GENOPKWH" localSheetId="7">#REF!</definedName>
    <definedName name="GENOPKWH" localSheetId="9">#REF!</definedName>
    <definedName name="GENOPKWH" localSheetId="8">#REF!</definedName>
    <definedName name="GENOPKWH">#REF!</definedName>
    <definedName name="GENP1EC" localSheetId="5">#REF!</definedName>
    <definedName name="GENP1EC" localSheetId="6">#REF!</definedName>
    <definedName name="GENP1EC" localSheetId="7">#REF!</definedName>
    <definedName name="GENP1EC" localSheetId="9">#REF!</definedName>
    <definedName name="GENP1EC" localSheetId="8">#REF!</definedName>
    <definedName name="GENP1EC">#REF!</definedName>
    <definedName name="GENP2EC" localSheetId="5">#REF!</definedName>
    <definedName name="GENP2EC" localSheetId="6">#REF!</definedName>
    <definedName name="GENP2EC" localSheetId="7">#REF!</definedName>
    <definedName name="GENP2EC" localSheetId="9">#REF!</definedName>
    <definedName name="GENP2EC" localSheetId="8">#REF!</definedName>
    <definedName name="GENP2EC">#REF!</definedName>
    <definedName name="GENP3EC" localSheetId="5">#REF!</definedName>
    <definedName name="GENP3EC" localSheetId="6">#REF!</definedName>
    <definedName name="GENP3EC" localSheetId="7">#REF!</definedName>
    <definedName name="GENP3EC" localSheetId="9">#REF!</definedName>
    <definedName name="GENP3EC" localSheetId="8">#REF!</definedName>
    <definedName name="GENP3EC">#REF!</definedName>
    <definedName name="GENP4EC" localSheetId="5">#REF!</definedName>
    <definedName name="GENP4EC" localSheetId="6">#REF!</definedName>
    <definedName name="GENP4EC" localSheetId="7">#REF!</definedName>
    <definedName name="GENP4EC" localSheetId="9">#REF!</definedName>
    <definedName name="GENP4EC" localSheetId="8">#REF!</definedName>
    <definedName name="GENP4EC">#REF!</definedName>
    <definedName name="GENP5EC" localSheetId="5">#REF!</definedName>
    <definedName name="GENP5EC" localSheetId="6">#REF!</definedName>
    <definedName name="GENP5EC" localSheetId="7">#REF!</definedName>
    <definedName name="GENP5EC" localSheetId="9">#REF!</definedName>
    <definedName name="GENP5EC" localSheetId="8">#REF!</definedName>
    <definedName name="GENP5EC">#REF!</definedName>
    <definedName name="GenPL1Chg" localSheetId="5">#REF!</definedName>
    <definedName name="GenPL1Chg" localSheetId="6">#REF!</definedName>
    <definedName name="GenPL1Chg" localSheetId="7">#REF!</definedName>
    <definedName name="GenPL1Chg" localSheetId="9">#REF!</definedName>
    <definedName name="GenPL1Chg" localSheetId="8">#REF!</definedName>
    <definedName name="GenPL1Chg">#REF!</definedName>
    <definedName name="GenPL2Chg" localSheetId="5">#REF!</definedName>
    <definedName name="GenPL2Chg" localSheetId="6">#REF!</definedName>
    <definedName name="GenPL2Chg" localSheetId="7">#REF!</definedName>
    <definedName name="GenPL2Chg" localSheetId="9">#REF!</definedName>
    <definedName name="GenPL2Chg" localSheetId="8">#REF!</definedName>
    <definedName name="GenPL2Chg">#REF!</definedName>
    <definedName name="GenPL3Chg" localSheetId="5">#REF!</definedName>
    <definedName name="GenPL3Chg" localSheetId="6">#REF!</definedName>
    <definedName name="GenPL3Chg" localSheetId="7">#REF!</definedName>
    <definedName name="GenPL3Chg" localSheetId="9">#REF!</definedName>
    <definedName name="GenPL3Chg" localSheetId="8">#REF!</definedName>
    <definedName name="GenPL3Chg">#REF!</definedName>
    <definedName name="GenPL4Chg" localSheetId="5">#REF!</definedName>
    <definedName name="GenPL4Chg" localSheetId="6">#REF!</definedName>
    <definedName name="GenPL4Chg" localSheetId="7">#REF!</definedName>
    <definedName name="GenPL4Chg" localSheetId="9">#REF!</definedName>
    <definedName name="GenPL4Chg" localSheetId="8">#REF!</definedName>
    <definedName name="GenPL4Chg">#REF!</definedName>
    <definedName name="GenPL5Chg" localSheetId="5">#REF!</definedName>
    <definedName name="GenPL5Chg" localSheetId="6">#REF!</definedName>
    <definedName name="GenPL5Chg" localSheetId="7">#REF!</definedName>
    <definedName name="GenPL5Chg" localSheetId="9">#REF!</definedName>
    <definedName name="GenPL5Chg" localSheetId="8">#REF!</definedName>
    <definedName name="GenPL5Chg">#REF!</definedName>
    <definedName name="GENRCHG" localSheetId="5">#REF!</definedName>
    <definedName name="GENRCHG" localSheetId="6">#REF!</definedName>
    <definedName name="GENRCHG" localSheetId="7">#REF!</definedName>
    <definedName name="GENRCHG" localSheetId="9">#REF!</definedName>
    <definedName name="GENRCHG" localSheetId="8">#REF!</definedName>
    <definedName name="GENRCHG">#REF!</definedName>
    <definedName name="GenReactiveChg" localSheetId="5">#REF!</definedName>
    <definedName name="GenReactiveChg" localSheetId="6">#REF!</definedName>
    <definedName name="GenReactiveChg" localSheetId="7">#REF!</definedName>
    <definedName name="GenReactiveChg" localSheetId="9">#REF!</definedName>
    <definedName name="GenReactiveChg" localSheetId="8">#REF!</definedName>
    <definedName name="GenReactiveChg">#REF!</definedName>
    <definedName name="GENXOFKVA" localSheetId="5">#REF!</definedName>
    <definedName name="GENXOFKVA" localSheetId="6">#REF!</definedName>
    <definedName name="GENXOFKVA" localSheetId="7">#REF!</definedName>
    <definedName name="GENXOFKVA" localSheetId="9">#REF!</definedName>
    <definedName name="GENXOFKVA" localSheetId="8">#REF!</definedName>
    <definedName name="GENXOFKVA">#REF!</definedName>
    <definedName name="GENXOFKW" localSheetId="5">#REF!</definedName>
    <definedName name="GENXOFKW" localSheetId="6">#REF!</definedName>
    <definedName name="GENXOFKW" localSheetId="7">#REF!</definedName>
    <definedName name="GENXOFKW" localSheetId="9">#REF!</definedName>
    <definedName name="GENXOFKW" localSheetId="8">#REF!</definedName>
    <definedName name="GENXOFKW">#REF!</definedName>
    <definedName name="GenXOfpKvaChg" localSheetId="5">#REF!</definedName>
    <definedName name="GenXOfpKvaChg" localSheetId="6">#REF!</definedName>
    <definedName name="GenXOfpKvaChg" localSheetId="7">#REF!</definedName>
    <definedName name="GenXOfpKvaChg" localSheetId="9">#REF!</definedName>
    <definedName name="GenXOfpKvaChg" localSheetId="8">#REF!</definedName>
    <definedName name="GenXOfpKvaChg">#REF!</definedName>
    <definedName name="GenXOfpKwChg" localSheetId="5">#REF!</definedName>
    <definedName name="GenXOfpKwChg" localSheetId="6">#REF!</definedName>
    <definedName name="GenXOfpKwChg" localSheetId="7">#REF!</definedName>
    <definedName name="GenXOfpKwChg" localSheetId="9">#REF!</definedName>
    <definedName name="GenXOfpKwChg" localSheetId="8">#REF!</definedName>
    <definedName name="GenXOfpKwChg">#REF!</definedName>
    <definedName name="GIRPCCHG" localSheetId="5">#REF!</definedName>
    <definedName name="GIRPCCHG" localSheetId="6">#REF!</definedName>
    <definedName name="GIRPCCHG" localSheetId="7">#REF!</definedName>
    <definedName name="GIRPCCHG" localSheetId="9">#REF!</definedName>
    <definedName name="GIRPCCHG" localSheetId="8">#REF!</definedName>
    <definedName name="GIRPCCHG">#REF!</definedName>
    <definedName name="GIRPDCHG1" localSheetId="5">#REF!</definedName>
    <definedName name="GIRPDCHG1" localSheetId="6">#REF!</definedName>
    <definedName name="GIRPDCHG1" localSheetId="7">#REF!</definedName>
    <definedName name="GIRPDCHG1" localSheetId="9">#REF!</definedName>
    <definedName name="GIRPDCHG1" localSheetId="8">#REF!</definedName>
    <definedName name="GIRPDCHG1">#REF!</definedName>
    <definedName name="GIRPDCHG2" localSheetId="5">#REF!</definedName>
    <definedName name="GIRPDCHG2" localSheetId="6">#REF!</definedName>
    <definedName name="GIRPDCHG2" localSheetId="7">#REF!</definedName>
    <definedName name="GIRPDCHG2" localSheetId="9">#REF!</definedName>
    <definedName name="GIRPDCHG2" localSheetId="8">#REF!</definedName>
    <definedName name="GIRPDCHG2">#REF!</definedName>
    <definedName name="GIRPECHG1" localSheetId="5">#REF!</definedName>
    <definedName name="GIRPECHG1" localSheetId="6">#REF!</definedName>
    <definedName name="GIRPECHG1" localSheetId="7">#REF!</definedName>
    <definedName name="GIRPECHG1" localSheetId="9">#REF!</definedName>
    <definedName name="GIRPECHG1" localSheetId="8">#REF!</definedName>
    <definedName name="GIRPECHG1">#REF!</definedName>
    <definedName name="GIRPECHGB1" localSheetId="5">#REF!</definedName>
    <definedName name="GIRPECHGB1" localSheetId="6">#REF!</definedName>
    <definedName name="GIRPECHGB1" localSheetId="7">#REF!</definedName>
    <definedName name="GIRPECHGB1" localSheetId="9">#REF!</definedName>
    <definedName name="GIRPECHGB1" localSheetId="8">#REF!</definedName>
    <definedName name="GIRPECHGB1">#REF!</definedName>
    <definedName name="GIRPECHGB2" localSheetId="5">#REF!</definedName>
    <definedName name="GIRPECHGB2" localSheetId="6">#REF!</definedName>
    <definedName name="GIRPECHGB2" localSheetId="7">#REF!</definedName>
    <definedName name="GIRPECHGB2" localSheetId="9">#REF!</definedName>
    <definedName name="GIRPECHGB2" localSheetId="8">#REF!</definedName>
    <definedName name="GIRPECHGB2">#REF!</definedName>
    <definedName name="GIRPECHGB3" localSheetId="5">#REF!</definedName>
    <definedName name="GIRPECHGB3" localSheetId="6">#REF!</definedName>
    <definedName name="GIRPECHGB3" localSheetId="7">#REF!</definedName>
    <definedName name="GIRPECHGB3" localSheetId="9">#REF!</definedName>
    <definedName name="GIRPECHGB3" localSheetId="8">#REF!</definedName>
    <definedName name="GIRPECHGB3">#REF!</definedName>
    <definedName name="GIRPMECHG1" localSheetId="5">#REF!</definedName>
    <definedName name="GIRPMECHG1" localSheetId="6">#REF!</definedName>
    <definedName name="GIRPMECHG1" localSheetId="7">#REF!</definedName>
    <definedName name="GIRPMECHG1" localSheetId="9">#REF!</definedName>
    <definedName name="GIRPMECHG1" localSheetId="8">#REF!</definedName>
    <definedName name="GIRPMECHG1">#REF!</definedName>
    <definedName name="GIRPMINDC" localSheetId="5">#REF!</definedName>
    <definedName name="GIRPMINDC" localSheetId="6">#REF!</definedName>
    <definedName name="GIRPMINDC" localSheetId="7">#REF!</definedName>
    <definedName name="GIRPMINDC" localSheetId="9">#REF!</definedName>
    <definedName name="GIRPMINDC" localSheetId="8">#REF!</definedName>
    <definedName name="GIRPMINDC">#REF!</definedName>
    <definedName name="GIRPMINEC" localSheetId="5">#REF!</definedName>
    <definedName name="GIRPMINEC" localSheetId="6">#REF!</definedName>
    <definedName name="GIRPMINEC" localSheetId="7">#REF!</definedName>
    <definedName name="GIRPMINEC" localSheetId="9">#REF!</definedName>
    <definedName name="GIRPMINEC" localSheetId="8">#REF!</definedName>
    <definedName name="GIRPMINEC">#REF!</definedName>
    <definedName name="GIRPOFKVA" localSheetId="5">#REF!</definedName>
    <definedName name="GIRPOFKVA" localSheetId="6">#REF!</definedName>
    <definedName name="GIRPOFKVA" localSheetId="7">#REF!</definedName>
    <definedName name="GIRPOFKVA" localSheetId="9">#REF!</definedName>
    <definedName name="GIRPOFKVA" localSheetId="8">#REF!</definedName>
    <definedName name="GIRPOFKVA">#REF!</definedName>
    <definedName name="GIRPOFKW" localSheetId="5">#REF!</definedName>
    <definedName name="GIRPOFKW" localSheetId="6">#REF!</definedName>
    <definedName name="GIRPOFKW" localSheetId="7">#REF!</definedName>
    <definedName name="GIRPOFKW" localSheetId="9">#REF!</definedName>
    <definedName name="GIRPOFKW" localSheetId="8">#REF!</definedName>
    <definedName name="GIRPOFKW">#REF!</definedName>
    <definedName name="GIRPOFKWH" localSheetId="5">#REF!</definedName>
    <definedName name="GIRPOFKWH" localSheetId="6">#REF!</definedName>
    <definedName name="GIRPOFKWH" localSheetId="7">#REF!</definedName>
    <definedName name="GIRPOFKWH" localSheetId="9">#REF!</definedName>
    <definedName name="GIRPOFKWH" localSheetId="8">#REF!</definedName>
    <definedName name="GIRPOFKWH">#REF!</definedName>
    <definedName name="GIRPOPKWH" localSheetId="5">#REF!</definedName>
    <definedName name="GIRPOPKWH" localSheetId="6">#REF!</definedName>
    <definedName name="GIRPOPKWH" localSheetId="7">#REF!</definedName>
    <definedName name="GIRPOPKWH" localSheetId="9">#REF!</definedName>
    <definedName name="GIRPOPKWH" localSheetId="8">#REF!</definedName>
    <definedName name="GIRPOPKWH">#REF!</definedName>
    <definedName name="GIRPP1EC" localSheetId="5">#REF!</definedName>
    <definedName name="GIRPP1EC" localSheetId="6">#REF!</definedName>
    <definedName name="GIRPP1EC" localSheetId="7">#REF!</definedName>
    <definedName name="GIRPP1EC" localSheetId="9">#REF!</definedName>
    <definedName name="GIRPP1EC" localSheetId="8">#REF!</definedName>
    <definedName name="GIRPP1EC">#REF!</definedName>
    <definedName name="GIRPP2EC" localSheetId="5">#REF!</definedName>
    <definedName name="GIRPP2EC" localSheetId="6">#REF!</definedName>
    <definedName name="GIRPP2EC" localSheetId="7">#REF!</definedName>
    <definedName name="GIRPP2EC" localSheetId="9">#REF!</definedName>
    <definedName name="GIRPP2EC" localSheetId="8">#REF!</definedName>
    <definedName name="GIRPP2EC">#REF!</definedName>
    <definedName name="GIRPP3EC" localSheetId="5">#REF!</definedName>
    <definedName name="GIRPP3EC" localSheetId="6">#REF!</definedName>
    <definedName name="GIRPP3EC" localSheetId="7">#REF!</definedName>
    <definedName name="GIRPP3EC" localSheetId="9">#REF!</definedName>
    <definedName name="GIRPP3EC" localSheetId="8">#REF!</definedName>
    <definedName name="GIRPP3EC">#REF!</definedName>
    <definedName name="GIRPP4EC" localSheetId="5">#REF!</definedName>
    <definedName name="GIRPP4EC" localSheetId="6">#REF!</definedName>
    <definedName name="GIRPP4EC" localSheetId="7">#REF!</definedName>
    <definedName name="GIRPP4EC" localSheetId="9">#REF!</definedName>
    <definedName name="GIRPP4EC" localSheetId="8">#REF!</definedName>
    <definedName name="GIRPP4EC">#REF!</definedName>
    <definedName name="GIRPP5EC" localSheetId="5">#REF!</definedName>
    <definedName name="GIRPP5EC" localSheetId="6">#REF!</definedName>
    <definedName name="GIRPP5EC" localSheetId="7">#REF!</definedName>
    <definedName name="GIRPP5EC" localSheetId="9">#REF!</definedName>
    <definedName name="GIRPP5EC" localSheetId="8">#REF!</definedName>
    <definedName name="GIRPP5EC">#REF!</definedName>
    <definedName name="GIRPRCHG" localSheetId="5">#REF!</definedName>
    <definedName name="GIRPRCHG" localSheetId="6">#REF!</definedName>
    <definedName name="GIRPRCHG" localSheetId="7">#REF!</definedName>
    <definedName name="GIRPRCHG" localSheetId="9">#REF!</definedName>
    <definedName name="GIRPRCHG" localSheetId="8">#REF!</definedName>
    <definedName name="GIRPRCHG">#REF!</definedName>
    <definedName name="GRAFTON" localSheetId="2">#REF!</definedName>
    <definedName name="GRAFTON" localSheetId="9">#REF!</definedName>
    <definedName name="GRAFTON">#REF!</definedName>
    <definedName name="greenbelt">#REF!</definedName>
    <definedName name="Grove_City" localSheetId="2">#REF!</definedName>
    <definedName name="Grove_City" localSheetId="9">#REF!</definedName>
    <definedName name="Grove_City">#REF!</definedName>
    <definedName name="HASKINS" localSheetId="2">#REF!</definedName>
    <definedName name="HASKINS" localSheetId="9">#REF!</definedName>
    <definedName name="HASKINS">#REF!</definedName>
    <definedName name="HIPREKW" localSheetId="5">#REF!</definedName>
    <definedName name="HIPREKW" localSheetId="6">#REF!</definedName>
    <definedName name="HIPREKW" localSheetId="7">#REF!</definedName>
    <definedName name="HIPREKW" localSheetId="9">#REF!</definedName>
    <definedName name="HIPREKW" localSheetId="8">#REF!</definedName>
    <definedName name="HIPREKW">#REF!</definedName>
    <definedName name="hourending" localSheetId="2">#REF!</definedName>
    <definedName name="hourending" localSheetId="9">#REF!</definedName>
    <definedName name="hourending">#REF!</definedName>
    <definedName name="HRCRDKW" localSheetId="5">#REF!</definedName>
    <definedName name="HRCRDKW" localSheetId="6">#REF!</definedName>
    <definedName name="HRCRDKW" localSheetId="7">#REF!</definedName>
    <definedName name="HRCRDKW" localSheetId="9">#REF!</definedName>
    <definedName name="HRCRDKW" localSheetId="8">#REF!</definedName>
    <definedName name="HRCRDKW">#REF!</definedName>
    <definedName name="HRCRDKWDT" localSheetId="5">#REF!</definedName>
    <definedName name="HRCRDKWDT" localSheetId="6">#REF!</definedName>
    <definedName name="HRCRDKWDT" localSheetId="7">#REF!</definedName>
    <definedName name="HRCRDKWDT" localSheetId="9">#REF!</definedName>
    <definedName name="HRCRDKWDT" localSheetId="8">#REF!</definedName>
    <definedName name="HRCRDKWDT">#REF!</definedName>
    <definedName name="HRCRDKWTM" localSheetId="5">#REF!</definedName>
    <definedName name="HRCRDKWTM" localSheetId="6">#REF!</definedName>
    <definedName name="HRCRDKWTM" localSheetId="7">#REF!</definedName>
    <definedName name="HRCRDKWTM" localSheetId="9">#REF!</definedName>
    <definedName name="HRCRDKWTM" localSheetId="8">#REF!</definedName>
    <definedName name="HRCRDKWTM">#REF!</definedName>
    <definedName name="HROFPKDT" localSheetId="5">#REF!</definedName>
    <definedName name="HROFPKDT" localSheetId="6">#REF!</definedName>
    <definedName name="HROFPKDT" localSheetId="7">#REF!</definedName>
    <definedName name="HROFPKDT" localSheetId="9">#REF!</definedName>
    <definedName name="HROFPKDT" localSheetId="8">#REF!</definedName>
    <definedName name="HROFPKDT">#REF!</definedName>
    <definedName name="HROFPKKW" localSheetId="5">#REF!</definedName>
    <definedName name="HROFPKKW" localSheetId="6">#REF!</definedName>
    <definedName name="HROFPKKW" localSheetId="7">#REF!</definedName>
    <definedName name="HROFPKKW" localSheetId="9">#REF!</definedName>
    <definedName name="HROFPKKW" localSheetId="8">#REF!</definedName>
    <definedName name="HROFPKKW">#REF!</definedName>
    <definedName name="HROFPKTM" localSheetId="5">#REF!</definedName>
    <definedName name="HROFPKTM" localSheetId="6">#REF!</definedName>
    <definedName name="HROFPKTM" localSheetId="7">#REF!</definedName>
    <definedName name="HROFPKTM" localSheetId="9">#REF!</definedName>
    <definedName name="HROFPKTM" localSheetId="8">#REF!</definedName>
    <definedName name="HROFPKTM">#REF!</definedName>
    <definedName name="HRONPKDT" localSheetId="5">#REF!</definedName>
    <definedName name="HRONPKDT" localSheetId="6">#REF!</definedName>
    <definedName name="HRONPKDT" localSheetId="7">#REF!</definedName>
    <definedName name="HRONPKDT" localSheetId="9">#REF!</definedName>
    <definedName name="HRONPKDT" localSheetId="8">#REF!</definedName>
    <definedName name="HRONPKDT">#REF!</definedName>
    <definedName name="HRONPKKW" localSheetId="5">#REF!</definedName>
    <definedName name="HRONPKKW" localSheetId="6">#REF!</definedName>
    <definedName name="HRONPKKW" localSheetId="7">#REF!</definedName>
    <definedName name="HRONPKKW" localSheetId="9">#REF!</definedName>
    <definedName name="HRONPKKW" localSheetId="8">#REF!</definedName>
    <definedName name="HRONPKKW">#REF!</definedName>
    <definedName name="HRONPKTM" localSheetId="5">#REF!</definedName>
    <definedName name="HRONPKTM" localSheetId="6">#REF!</definedName>
    <definedName name="HRONPKTM" localSheetId="7">#REF!</definedName>
    <definedName name="HRONPKTM" localSheetId="9">#REF!</definedName>
    <definedName name="HRONPKTM" localSheetId="8">#REF!</definedName>
    <definedName name="HRONPKTM">#REF!</definedName>
    <definedName name="HUBBARD" localSheetId="2">#REF!</definedName>
    <definedName name="HUBBARD" localSheetId="9">#REF!</definedName>
    <definedName name="HUBBARD">#REF!</definedName>
    <definedName name="IM_Allocators" localSheetId="4">'OKT 2013 True-Up TCOS'!$I$353:$J$361</definedName>
    <definedName name="IM_Allocators" localSheetId="5">'OKT 2014 True-Up TCOS'!$I$353:$J$361</definedName>
    <definedName name="IM_Allocators" localSheetId="6">'OKT 2015 True-Up TCOS'!$I$353:$J$361</definedName>
    <definedName name="IM_Allocators" localSheetId="7">'OKT 2016 True-Up TCOS'!$I$353:$J$361</definedName>
    <definedName name="IM_Allocators" localSheetId="9">'OKT 2017 True-Up TCOS - 10.5%'!$I$353:$J$361</definedName>
    <definedName name="IM_Allocators" localSheetId="8">'OKT 2017 True-Up TCOS - 11.2%'!$I$353:$J$361</definedName>
    <definedName name="IMCO" localSheetId="5">#REF!</definedName>
    <definedName name="IMCO" localSheetId="6">#REF!</definedName>
    <definedName name="IMCO" localSheetId="7">#REF!</definedName>
    <definedName name="IMCO" localSheetId="9">#REF!</definedName>
    <definedName name="IMCO" localSheetId="8">#REF!</definedName>
    <definedName name="IMCO">#REF!</definedName>
    <definedName name="InterruptCapacity" localSheetId="5">#REF!</definedName>
    <definedName name="InterruptCapacity" localSheetId="6">#REF!</definedName>
    <definedName name="InterruptCapacity" localSheetId="7">#REF!</definedName>
    <definedName name="InterruptCapacity" localSheetId="9">#REF!</definedName>
    <definedName name="InterruptCapacity" localSheetId="8">#REF!</definedName>
    <definedName name="InterruptCapacity">#REF!</definedName>
    <definedName name="InterruptOfpCapacity" localSheetId="5">#REF!</definedName>
    <definedName name="InterruptOfpCapacity" localSheetId="6">#REF!</definedName>
    <definedName name="InterruptOfpCapacity" localSheetId="7">#REF!</definedName>
    <definedName name="InterruptOfpCapacity" localSheetId="9">#REF!</definedName>
    <definedName name="InterruptOfpCapacity" localSheetId="8">#REF!</definedName>
    <definedName name="InterruptOfpCapacity">#REF!</definedName>
    <definedName name="InterruptType" localSheetId="5">#REF!</definedName>
    <definedName name="InterruptType" localSheetId="6">#REF!</definedName>
    <definedName name="InterruptType" localSheetId="7">#REF!</definedName>
    <definedName name="InterruptType" localSheetId="9">#REF!</definedName>
    <definedName name="InterruptType" localSheetId="8">#REF!</definedName>
    <definedName name="InterruptType">#REF!</definedName>
    <definedName name="INTRPBLCAP" localSheetId="5">#REF!</definedName>
    <definedName name="INTRPBLCAP" localSheetId="6">#REF!</definedName>
    <definedName name="INTRPBLCAP" localSheetId="7">#REF!</definedName>
    <definedName name="INTRPBLCAP" localSheetId="9">#REF!</definedName>
    <definedName name="INTRPBLCAP" localSheetId="8">#REF!</definedName>
    <definedName name="INTRPBLCAP">#REF!</definedName>
    <definedName name="Invdetails" localSheetId="5">#REF!</definedName>
    <definedName name="Invdetails" localSheetId="6">#REF!</definedName>
    <definedName name="Invdetails" localSheetId="7">#REF!</definedName>
    <definedName name="Invdetails" localSheetId="9">#REF!</definedName>
    <definedName name="Invdetails" localSheetId="8">#REF!</definedName>
    <definedName name="Invdetails">#REF!</definedName>
    <definedName name="janetec">#REF!</definedName>
    <definedName name="KWCHG" localSheetId="5">#REF!</definedName>
    <definedName name="KWCHG" localSheetId="6">#REF!</definedName>
    <definedName name="KWCHG" localSheetId="7">#REF!</definedName>
    <definedName name="KWCHG" localSheetId="9">#REF!</definedName>
    <definedName name="KWCHG" localSheetId="8">#REF!</definedName>
    <definedName name="KWCHG">#REF!</definedName>
    <definedName name="KWH1NOCMM" localSheetId="5">#REF!</definedName>
    <definedName name="KWH1NOCMM" localSheetId="6">#REF!</definedName>
    <definedName name="KWH1NOCMM" localSheetId="7">#REF!</definedName>
    <definedName name="KWH1NOCMM" localSheetId="9">#REF!</definedName>
    <definedName name="KWH1NOCMM" localSheetId="8">#REF!</definedName>
    <definedName name="KWH1NOCMM">#REF!</definedName>
    <definedName name="KWH3NOCMM" localSheetId="5">#REF!</definedName>
    <definedName name="KWH3NOCMM" localSheetId="6">#REF!</definedName>
    <definedName name="KWH3NOCMM" localSheetId="7">#REF!</definedName>
    <definedName name="KWH3NOCMM" localSheetId="9">#REF!</definedName>
    <definedName name="KWH3NOCMM" localSheetId="8">#REF!</definedName>
    <definedName name="KWH3NOCMM">#REF!</definedName>
    <definedName name="KWHCHG" localSheetId="5">#REF!</definedName>
    <definedName name="KWHCHG" localSheetId="6">#REF!</definedName>
    <definedName name="KWHCHG" localSheetId="7">#REF!</definedName>
    <definedName name="KWHCHG" localSheetId="9">#REF!</definedName>
    <definedName name="KWHCHG" localSheetId="8">#REF!</definedName>
    <definedName name="KWHCHG">#REF!</definedName>
    <definedName name="LASTDAY" localSheetId="5">#REF!</definedName>
    <definedName name="LASTDAY" localSheetId="6">#REF!</definedName>
    <definedName name="LASTDAY" localSheetId="7">#REF!</definedName>
    <definedName name="LASTDAY" localSheetId="9">#REF!</definedName>
    <definedName name="LASTDAY" localSheetId="8">#REF!</definedName>
    <definedName name="LASTDAY">#REF!</definedName>
    <definedName name="LASTFUEL" localSheetId="5">#REF!</definedName>
    <definedName name="LASTFUEL" localSheetId="6">#REF!</definedName>
    <definedName name="LASTFUEL" localSheetId="7">#REF!</definedName>
    <definedName name="LASTFUEL" localSheetId="9">#REF!</definedName>
    <definedName name="LASTFUEL" localSheetId="8">#REF!</definedName>
    <definedName name="LASTFUEL">#REF!</definedName>
    <definedName name="LASTMSRR" localSheetId="5">#REF!</definedName>
    <definedName name="LASTMSRR" localSheetId="6">#REF!</definedName>
    <definedName name="LASTMSRR" localSheetId="7">#REF!</definedName>
    <definedName name="LASTMSRR" localSheetId="9">#REF!</definedName>
    <definedName name="LASTMSRR" localSheetId="8">#REF!</definedName>
    <definedName name="LASTMSRR">#REF!</definedName>
    <definedName name="LASTPFCC" localSheetId="5">#REF!</definedName>
    <definedName name="LASTPFCC" localSheetId="6">#REF!</definedName>
    <definedName name="LASTPFCC" localSheetId="7">#REF!</definedName>
    <definedName name="LASTPFCC" localSheetId="9">#REF!</definedName>
    <definedName name="LASTPFCC" localSheetId="8">#REF!</definedName>
    <definedName name="LASTPFCC">#REF!</definedName>
    <definedName name="LDFCTR" localSheetId="5">#REF!</definedName>
    <definedName name="LDFCTR" localSheetId="6">#REF!</definedName>
    <definedName name="LDFCTR" localSheetId="7">#REF!</definedName>
    <definedName name="LDFCTR" localSheetId="9">#REF!</definedName>
    <definedName name="LDFCTR" localSheetId="8">#REF!</definedName>
    <definedName name="LDFCTR">#REF!</definedName>
    <definedName name="lighthouse">#REF!</definedName>
    <definedName name="LoadDiv" localSheetId="5">#REF!</definedName>
    <definedName name="LoadDiv" localSheetId="6">#REF!</definedName>
    <definedName name="LoadDiv" localSheetId="7">#REF!</definedName>
    <definedName name="LoadDiv" localSheetId="9">#REF!</definedName>
    <definedName name="LoadDiv" localSheetId="8">#REF!</definedName>
    <definedName name="LoadDiv">'[2]Load WS'!$Q$27</definedName>
    <definedName name="LODI" localSheetId="2">#REF!</definedName>
    <definedName name="LODI" localSheetId="9">#REF!</definedName>
    <definedName name="LODI">#REF!</definedName>
    <definedName name="LRCREDIT" localSheetId="5">#REF!</definedName>
    <definedName name="LRCREDIT" localSheetId="6">#REF!</definedName>
    <definedName name="LRCREDIT" localSheetId="7">#REF!</definedName>
    <definedName name="LRCREDIT" localSheetId="9">#REF!</definedName>
    <definedName name="LRCREDIT" localSheetId="8">#REF!</definedName>
    <definedName name="LRCREDIT">#REF!</definedName>
    <definedName name="LUCAS" localSheetId="2">#REF!</definedName>
    <definedName name="LUCAS" localSheetId="9">#REF!</definedName>
    <definedName name="LUCAS">#REF!</definedName>
    <definedName name="MACC1" localSheetId="5">#REF!</definedName>
    <definedName name="MACC1" localSheetId="6">#REF!</definedName>
    <definedName name="MACC1" localSheetId="7">#REF!</definedName>
    <definedName name="MACC1" localSheetId="9">#REF!</definedName>
    <definedName name="MACC1" localSheetId="8">#REF!</definedName>
    <definedName name="MACC1">#REF!</definedName>
    <definedName name="MACC2" localSheetId="5">#REF!</definedName>
    <definedName name="MACC2" localSheetId="6">#REF!</definedName>
    <definedName name="MACC2" localSheetId="7">#REF!</definedName>
    <definedName name="MACC2" localSheetId="9">#REF!</definedName>
    <definedName name="MACC2" localSheetId="8">#REF!</definedName>
    <definedName name="MACC2">#REF!</definedName>
    <definedName name="MAINTHRSCRMO" localSheetId="5">#REF!</definedName>
    <definedName name="MAINTHRSCRMO" localSheetId="6">#REF!</definedName>
    <definedName name="MAINTHRSCRMO" localSheetId="7">#REF!</definedName>
    <definedName name="MAINTHRSCRMO" localSheetId="9">#REF!</definedName>
    <definedName name="MAINTHRSCRMO" localSheetId="8">#REF!</definedName>
    <definedName name="MAINTHRSCRMO">#REF!</definedName>
    <definedName name="MAINTKWH" localSheetId="5">#REF!</definedName>
    <definedName name="MAINTKWH" localSheetId="6">#REF!</definedName>
    <definedName name="MAINTKWH" localSheetId="7">#REF!</definedName>
    <definedName name="MAINTKWH" localSheetId="9">#REF!</definedName>
    <definedName name="MAINTKWH" localSheetId="8">#REF!</definedName>
    <definedName name="MAINTKWH">#REF!</definedName>
    <definedName name="MILAN" localSheetId="2">#REF!</definedName>
    <definedName name="MILAN" localSheetId="9">#REF!</definedName>
    <definedName name="MILAN">#REF!</definedName>
    <definedName name="MinBillDem" localSheetId="5">#REF!</definedName>
    <definedName name="MinBillDem" localSheetId="6">#REF!</definedName>
    <definedName name="MinBillDem" localSheetId="7">#REF!</definedName>
    <definedName name="MinBillDem" localSheetId="9">#REF!</definedName>
    <definedName name="MinBillDem" localSheetId="8">#REF!</definedName>
    <definedName name="MinBillDem">#REF!</definedName>
    <definedName name="MinBillDem2" localSheetId="5">#REF!</definedName>
    <definedName name="MinBillDem2" localSheetId="6">#REF!</definedName>
    <definedName name="MinBillDem2" localSheetId="7">#REF!</definedName>
    <definedName name="MinBillDem2" localSheetId="9">#REF!</definedName>
    <definedName name="MinBillDem2" localSheetId="8">#REF!</definedName>
    <definedName name="MinBillDem2">#REF!</definedName>
    <definedName name="MinBillDmd" localSheetId="5">#REF!</definedName>
    <definedName name="MinBillDmd" localSheetId="6">#REF!</definedName>
    <definedName name="MinBillDmd" localSheetId="7">#REF!</definedName>
    <definedName name="MinBillDmd" localSheetId="9">#REF!</definedName>
    <definedName name="MinBillDmd" localSheetId="8">#REF!</definedName>
    <definedName name="MinBillDmd">#REF!</definedName>
    <definedName name="MONROEVILLE" localSheetId="2">#REF!</definedName>
    <definedName name="MONROEVILLE" localSheetId="9">#REF!</definedName>
    <definedName name="MONROEVILLE">#REF!</definedName>
    <definedName name="MSRRBLD" localSheetId="5">#REF!</definedName>
    <definedName name="MSRRBLD" localSheetId="6">#REF!</definedName>
    <definedName name="MSRRBLD" localSheetId="7">#REF!</definedName>
    <definedName name="MSRRBLD" localSheetId="9">#REF!</definedName>
    <definedName name="MSRRBLD" localSheetId="8">#REF!</definedName>
    <definedName name="MSRRBLD">#REF!</definedName>
    <definedName name="MSRRCHG" localSheetId="5">#REF!</definedName>
    <definedName name="MSRRCHG" localSheetId="6">#REF!</definedName>
    <definedName name="MSRRCHG" localSheetId="7">#REF!</definedName>
    <definedName name="MSRRCHG" localSheetId="9">#REF!</definedName>
    <definedName name="MSRRCHG" localSheetId="8">#REF!</definedName>
    <definedName name="MSRRCHG">#REF!</definedName>
    <definedName name="MTRMLTPLR1" localSheetId="5">#REF!</definedName>
    <definedName name="MTRMLTPLR1" localSheetId="6">#REF!</definedName>
    <definedName name="MTRMLTPLR1" localSheetId="7">#REF!</definedName>
    <definedName name="MTRMLTPLR1" localSheetId="9">#REF!</definedName>
    <definedName name="MTRMLTPLR1" localSheetId="8">#REF!</definedName>
    <definedName name="MTRMLTPLR1">#REF!</definedName>
    <definedName name="MTRMLTPLR2" localSheetId="5">#REF!</definedName>
    <definedName name="MTRMLTPLR2" localSheetId="6">#REF!</definedName>
    <definedName name="MTRMLTPLR2" localSheetId="7">#REF!</definedName>
    <definedName name="MTRMLTPLR2" localSheetId="9">#REF!</definedName>
    <definedName name="MTRMLTPLR2" localSheetId="8">#REF!</definedName>
    <definedName name="MTRMLTPLR2">#REF!</definedName>
    <definedName name="NAPOLEON" localSheetId="2">#REF!</definedName>
    <definedName name="NAPOLEON" localSheetId="9">#REF!</definedName>
    <definedName name="NAPOLEON">#REF!</definedName>
    <definedName name="NEASG" localSheetId="2">#REF!</definedName>
    <definedName name="NEASG" localSheetId="9">#REF!</definedName>
    <definedName name="NEASG">#REF!</definedName>
    <definedName name="NETMRGCHG" localSheetId="5">#REF!</definedName>
    <definedName name="NETMRGCHG" localSheetId="6">#REF!</definedName>
    <definedName name="NETMRGCHG" localSheetId="7">#REF!</definedName>
    <definedName name="NETMRGCHG" localSheetId="9">#REF!</definedName>
    <definedName name="NETMRGCHG" localSheetId="8">#REF!</definedName>
    <definedName name="NETMRGCHG">#REF!</definedName>
    <definedName name="New_Wilmington" localSheetId="2">#REF!</definedName>
    <definedName name="New_Wilmington" localSheetId="9">#REF!</definedName>
    <definedName name="New_Wilmington">#REF!</definedName>
    <definedName name="NEWTON_FALLS" localSheetId="2">#REF!</definedName>
    <definedName name="NEWTON_FALLS" localSheetId="9">#REF!</definedName>
    <definedName name="NEWTON_FALLS">#REF!</definedName>
    <definedName name="NILES" localSheetId="2">#REF!</definedName>
    <definedName name="NILES" localSheetId="9">#REF!</definedName>
    <definedName name="NILES">#REF!</definedName>
    <definedName name="NODAYSINPRD" localSheetId="5">#REF!</definedName>
    <definedName name="NODAYSINPRD" localSheetId="6">#REF!</definedName>
    <definedName name="NODAYSINPRD" localSheetId="7">#REF!</definedName>
    <definedName name="NODAYSINPRD" localSheetId="9">#REF!</definedName>
    <definedName name="NODAYSINPRD" localSheetId="8">#REF!</definedName>
    <definedName name="NODAYSINPRD">#REF!</definedName>
    <definedName name="NODELPOINTS" localSheetId="5">#REF!</definedName>
    <definedName name="NODELPOINTS" localSheetId="6">#REF!</definedName>
    <definedName name="NODELPOINTS" localSheetId="7">#REF!</definedName>
    <definedName name="NODELPOINTS" localSheetId="9">#REF!</definedName>
    <definedName name="NODELPOINTS" localSheetId="8">#REF!</definedName>
    <definedName name="NODELPOINTS">#REF!</definedName>
    <definedName name="NP_h" localSheetId="4">'OKT 2013 True-Up TCOS'!$J$83</definedName>
    <definedName name="NP_h" localSheetId="5">'OKT 2014 True-Up TCOS'!$J$83</definedName>
    <definedName name="NP_h" localSheetId="6">'OKT 2015 True-Up TCOS'!$J$83</definedName>
    <definedName name="NP_h" localSheetId="7">'OKT 2016 True-Up TCOS'!$J$83</definedName>
    <definedName name="NP_h" localSheetId="9">'OKT 2017 True-Up TCOS - 10.5%'!$J$83</definedName>
    <definedName name="NP_h" localSheetId="8">'OKT 2017 True-Up TCOS - 11.2%'!$J$83</definedName>
    <definedName name="NP_h1" localSheetId="5">#REF!</definedName>
    <definedName name="NP_h1" localSheetId="6">#REF!</definedName>
    <definedName name="NP_h1" localSheetId="7">#REF!</definedName>
    <definedName name="NP_h1" localSheetId="9">#REF!</definedName>
    <definedName name="NP_h1" localSheetId="8">#REF!</definedName>
    <definedName name="NP_h1">#REF!</definedName>
    <definedName name="NPh" localSheetId="4">'OKT 2013 True-Up TCOS'!$J$83</definedName>
    <definedName name="NPh" localSheetId="5">'OKT 2014 True-Up TCOS'!$J$83</definedName>
    <definedName name="NPh" localSheetId="6">'OKT 2015 True-Up TCOS'!$J$83</definedName>
    <definedName name="NPh" localSheetId="7">'OKT 2016 True-Up TCOS'!$J$83</definedName>
    <definedName name="NPh" localSheetId="9">'OKT 2017 True-Up TCOS - 10.5%'!$J$83</definedName>
    <definedName name="NPh" localSheetId="8">'OKT 2017 True-Up TCOS - 11.2%'!$J$83</definedName>
    <definedName name="ntec">#REF!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NWASG" localSheetId="2">#REF!</definedName>
    <definedName name="NWASG" localSheetId="9">#REF!</definedName>
    <definedName name="NWASG">#REF!</definedName>
    <definedName name="OAK_HARBOR" localSheetId="2">#REF!</definedName>
    <definedName name="OAK_HARBOR" localSheetId="9">#REF!</definedName>
    <definedName name="OAK_HARBOR">#REF!</definedName>
    <definedName name="OBERLIN" localSheetId="2">#REF!</definedName>
    <definedName name="OBERLIN" localSheetId="9">#REF!</definedName>
    <definedName name="OBERLIN">#REF!</definedName>
    <definedName name="OFPCBLKW" localSheetId="5">#REF!</definedName>
    <definedName name="OFPCBLKW" localSheetId="6">#REF!</definedName>
    <definedName name="OFPCBLKW" localSheetId="7">#REF!</definedName>
    <definedName name="OFPCBLKW" localSheetId="9">#REF!</definedName>
    <definedName name="OFPCBLKW" localSheetId="8">#REF!</definedName>
    <definedName name="OFPCBLKW">#REF!</definedName>
    <definedName name="OFPKBILLKWH" localSheetId="5">#REF!</definedName>
    <definedName name="OFPKBILLKWH" localSheetId="6">#REF!</definedName>
    <definedName name="OFPKBILLKWH" localSheetId="7">#REF!</definedName>
    <definedName name="OFPKBILLKWH" localSheetId="9">#REF!</definedName>
    <definedName name="OFPKBILLKWH" localSheetId="8">#REF!</definedName>
    <definedName name="OFPKBILLKWH">#REF!</definedName>
    <definedName name="OFPKCGNKWH" localSheetId="5">#REF!</definedName>
    <definedName name="OFPKCGNKWH" localSheetId="6">#REF!</definedName>
    <definedName name="OFPKCGNKWH" localSheetId="7">#REF!</definedName>
    <definedName name="OFPKCGNKWH" localSheetId="9">#REF!</definedName>
    <definedName name="OFPKCGNKWH" localSheetId="8">#REF!</definedName>
    <definedName name="OFPKCGNKWH">#REF!</definedName>
    <definedName name="OFPKCNTRCTCPCT" localSheetId="5">#REF!</definedName>
    <definedName name="OFPKCNTRCTCPCT" localSheetId="6">#REF!</definedName>
    <definedName name="OFPKCNTRCTCPCT" localSheetId="7">#REF!</definedName>
    <definedName name="OFPKCNTRCTCPCT" localSheetId="9">#REF!</definedName>
    <definedName name="OFPKCNTRCTCPCT" localSheetId="8">#REF!</definedName>
    <definedName name="OFPKCNTRCTCPCT">#REF!</definedName>
    <definedName name="OFPKDMPKWH" localSheetId="5">#REF!</definedName>
    <definedName name="OFPKDMPKWH" localSheetId="6">#REF!</definedName>
    <definedName name="OFPKDMPKWH" localSheetId="7">#REF!</definedName>
    <definedName name="OFPKDMPKWH" localSheetId="9">#REF!</definedName>
    <definedName name="OFPKDMPKWH" localSheetId="8">#REF!</definedName>
    <definedName name="OFPKDMPKWH">#REF!</definedName>
    <definedName name="OFPKDSCRKWH" localSheetId="5">#REF!</definedName>
    <definedName name="OFPKDSCRKWH" localSheetId="6">#REF!</definedName>
    <definedName name="OFPKDSCRKWH" localSheetId="7">#REF!</definedName>
    <definedName name="OFPKDSCRKWH" localSheetId="9">#REF!</definedName>
    <definedName name="OFPKDSCRKWH" localSheetId="8">#REF!</definedName>
    <definedName name="OFPKDSCRKWH">#REF!</definedName>
    <definedName name="OFPKDT" localSheetId="5">#REF!</definedName>
    <definedName name="OFPKDT" localSheetId="6">#REF!</definedName>
    <definedName name="OFPKDT" localSheetId="7">#REF!</definedName>
    <definedName name="OFPKDT" localSheetId="9">#REF!</definedName>
    <definedName name="OFPKDT" localSheetId="8">#REF!</definedName>
    <definedName name="OFPKDT">#REF!</definedName>
    <definedName name="OFPKEXCSKW" localSheetId="5">#REF!</definedName>
    <definedName name="OFPKEXCSKW" localSheetId="6">#REF!</definedName>
    <definedName name="OFPKEXCSKW" localSheetId="7">#REF!</definedName>
    <definedName name="OFPKEXCSKW" localSheetId="9">#REF!</definedName>
    <definedName name="OFPKEXCSKW" localSheetId="8">#REF!</definedName>
    <definedName name="OFPKEXCSKW">#REF!</definedName>
    <definedName name="OFPKINCRKWH" localSheetId="5">#REF!</definedName>
    <definedName name="OFPKINCRKWH" localSheetId="6">#REF!</definedName>
    <definedName name="OFPKINCRKWH" localSheetId="7">#REF!</definedName>
    <definedName name="OFPKINCRKWH" localSheetId="9">#REF!</definedName>
    <definedName name="OFPKINCRKWH" localSheetId="8">#REF!</definedName>
    <definedName name="OFPKINCRKWH">#REF!</definedName>
    <definedName name="OFPKKVADT" localSheetId="5">#REF!</definedName>
    <definedName name="OFPKKVADT" localSheetId="6">#REF!</definedName>
    <definedName name="OFPKKVADT" localSheetId="7">#REF!</definedName>
    <definedName name="OFPKKVADT" localSheetId="9">#REF!</definedName>
    <definedName name="OFPKKVADT" localSheetId="8">#REF!</definedName>
    <definedName name="OFPKKVADT">#REF!</definedName>
    <definedName name="OFPKKVATM" localSheetId="5">#REF!</definedName>
    <definedName name="OFPKKVATM" localSheetId="6">#REF!</definedName>
    <definedName name="OFPKKVATM" localSheetId="7">#REF!</definedName>
    <definedName name="OFPKKVATM" localSheetId="9">#REF!</definedName>
    <definedName name="OFPKKVATM" localSheetId="8">#REF!</definedName>
    <definedName name="OFPKKVATM">#REF!</definedName>
    <definedName name="OFPKKVW" localSheetId="5">#REF!</definedName>
    <definedName name="OFPKKVW" localSheetId="6">#REF!</definedName>
    <definedName name="OFPKKVW" localSheetId="7">#REF!</definedName>
    <definedName name="OFPKKVW" localSheetId="9">#REF!</definedName>
    <definedName name="OFPKKVW" localSheetId="8">#REF!</definedName>
    <definedName name="OFPKKVW">#REF!</definedName>
    <definedName name="OFPKKW" localSheetId="5">#REF!</definedName>
    <definedName name="OFPKKW" localSheetId="6">#REF!</definedName>
    <definedName name="OFPKKW" localSheetId="7">#REF!</definedName>
    <definedName name="OFPKKW" localSheetId="9">#REF!</definedName>
    <definedName name="OFPKKW" localSheetId="8">#REF!</definedName>
    <definedName name="OFPKKW">#REF!</definedName>
    <definedName name="OFPKKWH1NOCMM" localSheetId="5">#REF!</definedName>
    <definedName name="OFPKKWH1NOCMM" localSheetId="6">#REF!</definedName>
    <definedName name="OFPKKWH1NOCMM" localSheetId="7">#REF!</definedName>
    <definedName name="OFPKKWH1NOCMM" localSheetId="9">#REF!</definedName>
    <definedName name="OFPKKWH1NOCMM" localSheetId="8">#REF!</definedName>
    <definedName name="OFPKKWH1NOCMM">#REF!</definedName>
    <definedName name="OFPKKWH3NOCMM" localSheetId="5">#REF!</definedName>
    <definedName name="OFPKKWH3NOCMM" localSheetId="6">#REF!</definedName>
    <definedName name="OFPKKWH3NOCMM" localSheetId="7">#REF!</definedName>
    <definedName name="OFPKKWH3NOCMM" localSheetId="9">#REF!</definedName>
    <definedName name="OFPKKWH3NOCMM" localSheetId="8">#REF!</definedName>
    <definedName name="OFPKKWH3NOCMM">#REF!</definedName>
    <definedName name="OFPKRCRDKWH" localSheetId="5">#REF!</definedName>
    <definedName name="OFPKRCRDKWH" localSheetId="6">#REF!</definedName>
    <definedName name="OFPKRCRDKWH" localSheetId="7">#REF!</definedName>
    <definedName name="OFPKRCRDKWH" localSheetId="9">#REF!</definedName>
    <definedName name="OFPKRCRDKWH" localSheetId="8">#REF!</definedName>
    <definedName name="OFPKRCRDKWH">#REF!</definedName>
    <definedName name="OFPKTM" localSheetId="5">#REF!</definedName>
    <definedName name="OFPKTM" localSheetId="6">#REF!</definedName>
    <definedName name="OFPKTM" localSheetId="7">#REF!</definedName>
    <definedName name="OFPKTM" localSheetId="9">#REF!</definedName>
    <definedName name="OFPKTM" localSheetId="8">#REF!</definedName>
    <definedName name="OFPKTM">#REF!</definedName>
    <definedName name="OFPXCSKW" localSheetId="5">#REF!</definedName>
    <definedName name="OFPXCSKW" localSheetId="6">#REF!</definedName>
    <definedName name="OFPXCSKW" localSheetId="7">#REF!</definedName>
    <definedName name="OFPXCSKW" localSheetId="9">#REF!</definedName>
    <definedName name="OFPXCSKW" localSheetId="8">#REF!</definedName>
    <definedName name="OFPXCSKW">#REF!</definedName>
    <definedName name="OFPXCSKWDT" localSheetId="5">#REF!</definedName>
    <definedName name="OFPXCSKWDT" localSheetId="6">#REF!</definedName>
    <definedName name="OFPXCSKWDT" localSheetId="7">#REF!</definedName>
    <definedName name="OFPXCSKWDT" localSheetId="9">#REF!</definedName>
    <definedName name="OFPXCSKWDT" localSheetId="8">#REF!</definedName>
    <definedName name="OFPXCSKWDT">#REF!</definedName>
    <definedName name="OFPXCSKWH" localSheetId="5">#REF!</definedName>
    <definedName name="OFPXCSKWH" localSheetId="6">#REF!</definedName>
    <definedName name="OFPXCSKWH" localSheetId="7">#REF!</definedName>
    <definedName name="OFPXCSKWH" localSheetId="9">#REF!</definedName>
    <definedName name="OFPXCSKWH" localSheetId="8">#REF!</definedName>
    <definedName name="OFPXCSKWH">#REF!</definedName>
    <definedName name="OFPXCSKWTM" localSheetId="5">#REF!</definedName>
    <definedName name="OFPXCSKWTM" localSheetId="6">#REF!</definedName>
    <definedName name="OFPXCSKWTM" localSheetId="7">#REF!</definedName>
    <definedName name="OFPXCSKWTM" localSheetId="9">#REF!</definedName>
    <definedName name="OFPXCSKWTM" localSheetId="8">#REF!</definedName>
    <definedName name="OFPXCSKWTM">#REF!</definedName>
    <definedName name="ompa">#REF!</definedName>
    <definedName name="ONPKBILLKWH" localSheetId="5">#REF!</definedName>
    <definedName name="ONPKBILLKWH" localSheetId="6">#REF!</definedName>
    <definedName name="ONPKBILLKWH" localSheetId="7">#REF!</definedName>
    <definedName name="ONPKBILLKWH" localSheetId="9">#REF!</definedName>
    <definedName name="ONPKBILLKWH" localSheetId="8">#REF!</definedName>
    <definedName name="ONPKBILLKWH">#REF!</definedName>
    <definedName name="ONPKCAPB" localSheetId="5">#REF!</definedName>
    <definedName name="ONPKCAPB" localSheetId="6">#REF!</definedName>
    <definedName name="ONPKCAPB" localSheetId="7">#REF!</definedName>
    <definedName name="ONPKCAPB" localSheetId="9">#REF!</definedName>
    <definedName name="ONPKCAPB" localSheetId="8">#REF!</definedName>
    <definedName name="ONPKCAPB">#REF!</definedName>
    <definedName name="ONPKCGNKWH" localSheetId="5">#REF!</definedName>
    <definedName name="ONPKCGNKWH" localSheetId="6">#REF!</definedName>
    <definedName name="ONPKCGNKWH" localSheetId="7">#REF!</definedName>
    <definedName name="ONPKCGNKWH" localSheetId="9">#REF!</definedName>
    <definedName name="ONPKCGNKWH" localSheetId="8">#REF!</definedName>
    <definedName name="ONPKCGNKWH">#REF!</definedName>
    <definedName name="ONPKCNTRCTCPCT" localSheetId="5">#REF!</definedName>
    <definedName name="ONPKCNTRCTCPCT" localSheetId="6">#REF!</definedName>
    <definedName name="ONPKCNTRCTCPCT" localSheetId="7">#REF!</definedName>
    <definedName name="ONPKCNTRCTCPCT" localSheetId="9">#REF!</definedName>
    <definedName name="ONPKCNTRCTCPCT" localSheetId="8">#REF!</definedName>
    <definedName name="ONPKCNTRCTCPCT">#REF!</definedName>
    <definedName name="ONPKDMPKWH" localSheetId="5">#REF!</definedName>
    <definedName name="ONPKDMPKWH" localSheetId="6">#REF!</definedName>
    <definedName name="ONPKDMPKWH" localSheetId="7">#REF!</definedName>
    <definedName name="ONPKDMPKWH" localSheetId="9">#REF!</definedName>
    <definedName name="ONPKDMPKWH" localSheetId="8">#REF!</definedName>
    <definedName name="ONPKDMPKWH">#REF!</definedName>
    <definedName name="ONPKDSCRKWH" localSheetId="5">#REF!</definedName>
    <definedName name="ONPKDSCRKWH" localSheetId="6">#REF!</definedName>
    <definedName name="ONPKDSCRKWH" localSheetId="7">#REF!</definedName>
    <definedName name="ONPKDSCRKWH" localSheetId="9">#REF!</definedName>
    <definedName name="ONPKDSCRKWH" localSheetId="8">#REF!</definedName>
    <definedName name="ONPKDSCRKWH">#REF!</definedName>
    <definedName name="ONPKDT" localSheetId="5">#REF!</definedName>
    <definedName name="ONPKDT" localSheetId="6">#REF!</definedName>
    <definedName name="ONPKDT" localSheetId="7">#REF!</definedName>
    <definedName name="ONPKDT" localSheetId="9">#REF!</definedName>
    <definedName name="ONPKDT" localSheetId="8">#REF!</definedName>
    <definedName name="ONPKDT">#REF!</definedName>
    <definedName name="ONPKINCRKWH" localSheetId="5">#REF!</definedName>
    <definedName name="ONPKINCRKWH" localSheetId="6">#REF!</definedName>
    <definedName name="ONPKINCRKWH" localSheetId="7">#REF!</definedName>
    <definedName name="ONPKINCRKWH" localSheetId="9">#REF!</definedName>
    <definedName name="ONPKINCRKWH" localSheetId="8">#REF!</definedName>
    <definedName name="ONPKINCRKWH">#REF!</definedName>
    <definedName name="ONPKKVA" localSheetId="5">#REF!</definedName>
    <definedName name="ONPKKVA" localSheetId="6">#REF!</definedName>
    <definedName name="ONPKKVA" localSheetId="7">#REF!</definedName>
    <definedName name="ONPKKVA" localSheetId="9">#REF!</definedName>
    <definedName name="ONPKKVA" localSheetId="8">#REF!</definedName>
    <definedName name="ONPKKVA">#REF!</definedName>
    <definedName name="ONPKKVADT" localSheetId="5">#REF!</definedName>
    <definedName name="ONPKKVADT" localSheetId="6">#REF!</definedName>
    <definedName name="ONPKKVADT" localSheetId="7">#REF!</definedName>
    <definedName name="ONPKKVADT" localSheetId="9">#REF!</definedName>
    <definedName name="ONPKKVADT" localSheetId="8">#REF!</definedName>
    <definedName name="ONPKKVADT">#REF!</definedName>
    <definedName name="ONPKKVATM" localSheetId="5">#REF!</definedName>
    <definedName name="ONPKKVATM" localSheetId="6">#REF!</definedName>
    <definedName name="ONPKKVATM" localSheetId="7">#REF!</definedName>
    <definedName name="ONPKKVATM" localSheetId="9">#REF!</definedName>
    <definedName name="ONPKKVATM" localSheetId="8">#REF!</definedName>
    <definedName name="ONPKKVATM">#REF!</definedName>
    <definedName name="ONPKKW" localSheetId="5">#REF!</definedName>
    <definedName name="ONPKKW" localSheetId="6">#REF!</definedName>
    <definedName name="ONPKKW" localSheetId="7">#REF!</definedName>
    <definedName name="ONPKKW" localSheetId="9">#REF!</definedName>
    <definedName name="ONPKKW" localSheetId="8">#REF!</definedName>
    <definedName name="ONPKKW">#REF!</definedName>
    <definedName name="ONPKKWH1NOCMM" localSheetId="5">#REF!</definedName>
    <definedName name="ONPKKWH1NOCMM" localSheetId="6">#REF!</definedName>
    <definedName name="ONPKKWH1NOCMM" localSheetId="7">#REF!</definedName>
    <definedName name="ONPKKWH1NOCMM" localSheetId="9">#REF!</definedName>
    <definedName name="ONPKKWH1NOCMM" localSheetId="8">#REF!</definedName>
    <definedName name="ONPKKWH1NOCMM">#REF!</definedName>
    <definedName name="ONPKKWH3NOCMM" localSheetId="5">#REF!</definedName>
    <definedName name="ONPKKWH3NOCMM" localSheetId="6">#REF!</definedName>
    <definedName name="ONPKKWH3NOCMM" localSheetId="7">#REF!</definedName>
    <definedName name="ONPKKWH3NOCMM" localSheetId="9">#REF!</definedName>
    <definedName name="ONPKKWH3NOCMM" localSheetId="8">#REF!</definedName>
    <definedName name="ONPKKWH3NOCMM">#REF!</definedName>
    <definedName name="ONPKRCRDKWH" localSheetId="5">#REF!</definedName>
    <definedName name="ONPKRCRDKWH" localSheetId="6">#REF!</definedName>
    <definedName name="ONPKRCRDKWH" localSheetId="7">#REF!</definedName>
    <definedName name="ONPKRCRDKWH" localSheetId="9">#REF!</definedName>
    <definedName name="ONPKRCRDKWH" localSheetId="8">#REF!</definedName>
    <definedName name="ONPKRCRDKWH">#REF!</definedName>
    <definedName name="ONPKTM" localSheetId="5">#REF!</definedName>
    <definedName name="ONPKTM" localSheetId="6">#REF!</definedName>
    <definedName name="ONPKTM" localSheetId="7">#REF!</definedName>
    <definedName name="ONPKTM" localSheetId="9">#REF!</definedName>
    <definedName name="ONPKTM" localSheetId="8">#REF!</definedName>
    <definedName name="ONPKTM">#REF!</definedName>
    <definedName name="OPCBLKW" localSheetId="5">#REF!</definedName>
    <definedName name="OPCBLKW" localSheetId="6">#REF!</definedName>
    <definedName name="OPCBLKW" localSheetId="7">#REF!</definedName>
    <definedName name="OPCBLKW" localSheetId="9">#REF!</definedName>
    <definedName name="OPCBLKW" localSheetId="8">#REF!</definedName>
    <definedName name="OPCBLKW">#REF!</definedName>
    <definedName name="OPCO" localSheetId="5">#REF!</definedName>
    <definedName name="OPCO" localSheetId="6">#REF!</definedName>
    <definedName name="OPCO" localSheetId="7">#REF!</definedName>
    <definedName name="OPCO" localSheetId="9">#REF!</definedName>
    <definedName name="OPCO" localSheetId="8">#REF!</definedName>
    <definedName name="OPCO">#REF!</definedName>
    <definedName name="OPXCSKW" localSheetId="5">#REF!</definedName>
    <definedName name="OPXCSKW" localSheetId="6">#REF!</definedName>
    <definedName name="OPXCSKW" localSheetId="7">#REF!</definedName>
    <definedName name="OPXCSKW" localSheetId="9">#REF!</definedName>
    <definedName name="OPXCSKW" localSheetId="8">#REF!</definedName>
    <definedName name="OPXCSKW">#REF!</definedName>
    <definedName name="OPXCSKWDT" localSheetId="5">#REF!</definedName>
    <definedName name="OPXCSKWDT" localSheetId="6">#REF!</definedName>
    <definedName name="OPXCSKWDT" localSheetId="7">#REF!</definedName>
    <definedName name="OPXCSKWDT" localSheetId="9">#REF!</definedName>
    <definedName name="OPXCSKWDT" localSheetId="8">#REF!</definedName>
    <definedName name="OPXCSKWDT">#REF!</definedName>
    <definedName name="OPXCSKWH" localSheetId="5">#REF!</definedName>
    <definedName name="OPXCSKWH" localSheetId="6">#REF!</definedName>
    <definedName name="OPXCSKWH" localSheetId="7">#REF!</definedName>
    <definedName name="OPXCSKWH" localSheetId="9">#REF!</definedName>
    <definedName name="OPXCSKWH" localSheetId="8">#REF!</definedName>
    <definedName name="OPXCSKWH">#REF!</definedName>
    <definedName name="OPXCSKWTM" localSheetId="5">#REF!</definedName>
    <definedName name="OPXCSKWTM" localSheetId="6">#REF!</definedName>
    <definedName name="OPXCSKWTM" localSheetId="7">#REF!</definedName>
    <definedName name="OPXCSKWTM" localSheetId="9">#REF!</definedName>
    <definedName name="OPXCSKWTM" localSheetId="8">#REF!</definedName>
    <definedName name="OPXCSKWTM">#REF!</definedName>
    <definedName name="OTHRTRNSKWH" localSheetId="5">#REF!</definedName>
    <definedName name="OTHRTRNSKWH" localSheetId="6">#REF!</definedName>
    <definedName name="OTHRTRNSKWH" localSheetId="7">#REF!</definedName>
    <definedName name="OTHRTRNSKWH" localSheetId="9">#REF!</definedName>
    <definedName name="OTHRTRNSKWH" localSheetId="8">#REF!</definedName>
    <definedName name="OTHRTRNSKWH">#REF!</definedName>
    <definedName name="P1PENPERC" localSheetId="5">#REF!</definedName>
    <definedName name="P1PENPERC" localSheetId="6">#REF!</definedName>
    <definedName name="P1PENPERC" localSheetId="7">#REF!</definedName>
    <definedName name="P1PENPERC" localSheetId="9">#REF!</definedName>
    <definedName name="P1PENPERC" localSheetId="8">#REF!</definedName>
    <definedName name="P1PENPERC">#REF!</definedName>
    <definedName name="P2PENPERC" localSheetId="5">#REF!</definedName>
    <definedName name="P2PENPERC" localSheetId="6">#REF!</definedName>
    <definedName name="P2PENPERC" localSheetId="7">#REF!</definedName>
    <definedName name="P2PENPERC" localSheetId="9">#REF!</definedName>
    <definedName name="P2PENPERC" localSheetId="8">#REF!</definedName>
    <definedName name="P2PENPERC">#REF!</definedName>
    <definedName name="PeakDemandChg" localSheetId="5">#REF!</definedName>
    <definedName name="PeakDemandChg" localSheetId="6">#REF!</definedName>
    <definedName name="PeakDemandChg" localSheetId="7">#REF!</definedName>
    <definedName name="PeakDemandChg" localSheetId="9">#REF!</definedName>
    <definedName name="PeakDemandChg" localSheetId="8">#REF!</definedName>
    <definedName name="PeakDemandChg">#REF!</definedName>
    <definedName name="PEMBERVILLE" localSheetId="2">#REF!</definedName>
    <definedName name="PEMBERVILLE" localSheetId="9">#REF!</definedName>
    <definedName name="PEMBERVILLE">#REF!</definedName>
    <definedName name="PenaltyDays" localSheetId="5">#REF!</definedName>
    <definedName name="PenaltyDays" localSheetId="6">#REF!</definedName>
    <definedName name="PenaltyDays" localSheetId="7">#REF!</definedName>
    <definedName name="PenaltyDays" localSheetId="9">#REF!</definedName>
    <definedName name="PenaltyDays" localSheetId="8">#REF!</definedName>
    <definedName name="PenaltyDays">#REF!</definedName>
    <definedName name="PenaltyPct" localSheetId="5">#REF!</definedName>
    <definedName name="PenaltyPct" localSheetId="6">#REF!</definedName>
    <definedName name="PenaltyPct" localSheetId="7">#REF!</definedName>
    <definedName name="PenaltyPct" localSheetId="9">#REF!</definedName>
    <definedName name="PenaltyPct" localSheetId="8">#REF!</definedName>
    <definedName name="PenaltyPct">#REF!</definedName>
    <definedName name="PENDAYS" localSheetId="5">#REF!</definedName>
    <definedName name="PENDAYS" localSheetId="6">#REF!</definedName>
    <definedName name="PENDAYS" localSheetId="7">#REF!</definedName>
    <definedName name="PENDAYS" localSheetId="9">#REF!</definedName>
    <definedName name="PENDAYS" localSheetId="8">#REF!</definedName>
    <definedName name="PENDAYS">#REF!</definedName>
    <definedName name="PENDAYS2" localSheetId="5">#REF!</definedName>
    <definedName name="PENDAYS2" localSheetId="6">#REF!</definedName>
    <definedName name="PENDAYS2" localSheetId="7">#REF!</definedName>
    <definedName name="PENDAYS2" localSheetId="9">#REF!</definedName>
    <definedName name="PENDAYS2" localSheetId="8">#REF!</definedName>
    <definedName name="PENDAYS2">#REF!</definedName>
    <definedName name="PFCC" localSheetId="5">#REF!</definedName>
    <definedName name="PFCC" localSheetId="6">#REF!</definedName>
    <definedName name="PFCC" localSheetId="7">#REF!</definedName>
    <definedName name="PFCC" localSheetId="9">#REF!</definedName>
    <definedName name="PFCC" localSheetId="8">#REF!</definedName>
    <definedName name="PFCC">#REF!</definedName>
    <definedName name="PIONEER" localSheetId="2">#REF!</definedName>
    <definedName name="PIONEER" localSheetId="9">#REF!</definedName>
    <definedName name="PIONEER">#REF!</definedName>
    <definedName name="PKKVAR" localSheetId="5">#REF!</definedName>
    <definedName name="PKKVAR" localSheetId="6">#REF!</definedName>
    <definedName name="PKKVAR" localSheetId="7">#REF!</definedName>
    <definedName name="PKKVAR" localSheetId="9">#REF!</definedName>
    <definedName name="PKKVAR" localSheetId="8">#REF!</definedName>
    <definedName name="PKKVAR">#REF!</definedName>
    <definedName name="PKKVARDATE" localSheetId="5">#REF!</definedName>
    <definedName name="PKKVARDATE" localSheetId="6">#REF!</definedName>
    <definedName name="PKKVARDATE" localSheetId="7">#REF!</definedName>
    <definedName name="PKKVARDATE" localSheetId="9">#REF!</definedName>
    <definedName name="PKKVARDATE" localSheetId="8">#REF!</definedName>
    <definedName name="PKKVARDATE">#REF!</definedName>
    <definedName name="PKKVARTIME" localSheetId="5">#REF!</definedName>
    <definedName name="PKKVARTIME" localSheetId="6">#REF!</definedName>
    <definedName name="PKKVARTIME" localSheetId="7">#REF!</definedName>
    <definedName name="PKKVARTIME" localSheetId="9">#REF!</definedName>
    <definedName name="PKKVARTIME" localSheetId="8">#REF!</definedName>
    <definedName name="PKKVARTIME">#REF!</definedName>
    <definedName name="PLVLKWH1" localSheetId="5">#REF!</definedName>
    <definedName name="PLVLKWH1" localSheetId="6">#REF!</definedName>
    <definedName name="PLVLKWH1" localSheetId="7">#REF!</definedName>
    <definedName name="PLVLKWH1" localSheetId="9">#REF!</definedName>
    <definedName name="PLVLKWH1" localSheetId="8">#REF!</definedName>
    <definedName name="PLVLKWH1">#REF!</definedName>
    <definedName name="PLVLKWH1A" localSheetId="5">#REF!</definedName>
    <definedName name="PLVLKWH1A" localSheetId="6">#REF!</definedName>
    <definedName name="PLVLKWH1A" localSheetId="7">#REF!</definedName>
    <definedName name="PLVLKWH1A" localSheetId="9">#REF!</definedName>
    <definedName name="PLVLKWH1A" localSheetId="8">#REF!</definedName>
    <definedName name="PLVLKWH1A">#REF!</definedName>
    <definedName name="PLVLKWH2" localSheetId="5">#REF!</definedName>
    <definedName name="PLVLKWH2" localSheetId="6">#REF!</definedName>
    <definedName name="PLVLKWH2" localSheetId="7">#REF!</definedName>
    <definedName name="PLVLKWH2" localSheetId="9">#REF!</definedName>
    <definedName name="PLVLKWH2" localSheetId="8">#REF!</definedName>
    <definedName name="PLVLKWH2">#REF!</definedName>
    <definedName name="PLVLKWH23A" localSheetId="5">#REF!</definedName>
    <definedName name="PLVLKWH23A" localSheetId="6">#REF!</definedName>
    <definedName name="PLVLKWH23A" localSheetId="7">#REF!</definedName>
    <definedName name="PLVLKWH23A" localSheetId="9">#REF!</definedName>
    <definedName name="PLVLKWH23A" localSheetId="8">#REF!</definedName>
    <definedName name="PLVLKWH23A">#REF!</definedName>
    <definedName name="PLVLKWH25" localSheetId="5">#REF!</definedName>
    <definedName name="PLVLKWH25" localSheetId="6">#REF!</definedName>
    <definedName name="PLVLKWH25" localSheetId="7">#REF!</definedName>
    <definedName name="PLVLKWH25" localSheetId="9">#REF!</definedName>
    <definedName name="PLVLKWH25" localSheetId="8">#REF!</definedName>
    <definedName name="PLVLKWH25">#REF!</definedName>
    <definedName name="PLVLKWH2A" localSheetId="5">#REF!</definedName>
    <definedName name="PLVLKWH2A" localSheetId="6">#REF!</definedName>
    <definedName name="PLVLKWH2A" localSheetId="7">#REF!</definedName>
    <definedName name="PLVLKWH2A" localSheetId="9">#REF!</definedName>
    <definedName name="PLVLKWH2A" localSheetId="8">#REF!</definedName>
    <definedName name="PLVLKWH2A">#REF!</definedName>
    <definedName name="PLVLKWH3" localSheetId="5">#REF!</definedName>
    <definedName name="PLVLKWH3" localSheetId="6">#REF!</definedName>
    <definedName name="PLVLKWH3" localSheetId="7">#REF!</definedName>
    <definedName name="PLVLKWH3" localSheetId="9">#REF!</definedName>
    <definedName name="PLVLKWH3" localSheetId="8">#REF!</definedName>
    <definedName name="PLVLKWH3">#REF!</definedName>
    <definedName name="PLVLKWH3A" localSheetId="5">#REF!</definedName>
    <definedName name="PLVLKWH3A" localSheetId="6">#REF!</definedName>
    <definedName name="PLVLKWH3A" localSheetId="7">#REF!</definedName>
    <definedName name="PLVLKWH3A" localSheetId="9">#REF!</definedName>
    <definedName name="PLVLKWH3A" localSheetId="8">#REF!</definedName>
    <definedName name="PLVLKWH3A">#REF!</definedName>
    <definedName name="PLVLKWH4" localSheetId="5">#REF!</definedName>
    <definedName name="PLVLKWH4" localSheetId="6">#REF!</definedName>
    <definedName name="PLVLKWH4" localSheetId="7">#REF!</definedName>
    <definedName name="PLVLKWH4" localSheetId="9">#REF!</definedName>
    <definedName name="PLVLKWH4" localSheetId="8">#REF!</definedName>
    <definedName name="PLVLKWH4">#REF!</definedName>
    <definedName name="PLVLKWH4A" localSheetId="5">#REF!</definedName>
    <definedName name="PLVLKWH4A" localSheetId="6">#REF!</definedName>
    <definedName name="PLVLKWH4A" localSheetId="7">#REF!</definedName>
    <definedName name="PLVLKWH4A" localSheetId="9">#REF!</definedName>
    <definedName name="PLVLKWH4A" localSheetId="8">#REF!</definedName>
    <definedName name="PLVLKWH4A">#REF!</definedName>
    <definedName name="PRICEDESIG" localSheetId="5">#REF!</definedName>
    <definedName name="PRICEDESIG" localSheetId="6">#REF!</definedName>
    <definedName name="PRICEDESIG" localSheetId="7">#REF!</definedName>
    <definedName name="PRICEDESIG" localSheetId="9">#REF!</definedName>
    <definedName name="PRICEDESIG" localSheetId="8">#REF!</definedName>
    <definedName name="PRICEDESIG">#REF!</definedName>
    <definedName name="PriMoAddr1" localSheetId="5">#REF!</definedName>
    <definedName name="PriMoAddr1" localSheetId="6">#REF!</definedName>
    <definedName name="PriMoAddr1" localSheetId="7">#REF!</definedName>
    <definedName name="PriMoAddr1" localSheetId="9">#REF!</definedName>
    <definedName name="PriMoAddr1" localSheetId="8">#REF!</definedName>
    <definedName name="PriMoAddr1">#REF!</definedName>
    <definedName name="PriMoAddr2" localSheetId="5">#REF!</definedName>
    <definedName name="PriMoAddr2" localSheetId="6">#REF!</definedName>
    <definedName name="PriMoAddr2" localSheetId="7">#REF!</definedName>
    <definedName name="PriMoAddr2" localSheetId="9">#REF!</definedName>
    <definedName name="PriMoAddr2" localSheetId="8">#REF!</definedName>
    <definedName name="PriMoAddr2">#REF!</definedName>
    <definedName name="PriMoBTDetail" localSheetId="5">#REF!</definedName>
    <definedName name="PriMoBTDetail" localSheetId="6">#REF!</definedName>
    <definedName name="PriMoBTDetail" localSheetId="7">#REF!</definedName>
    <definedName name="PriMoBTDetail" localSheetId="9">#REF!</definedName>
    <definedName name="PriMoBTDetail" localSheetId="8">#REF!</definedName>
    <definedName name="PriMoBTDetail">#REF!</definedName>
    <definedName name="PriMoBuyThrgh_Sheet" localSheetId="5">#REF!</definedName>
    <definedName name="PriMoBuyThrgh_Sheet" localSheetId="6">#REF!</definedName>
    <definedName name="PriMoBuyThrgh_Sheet" localSheetId="7">#REF!</definedName>
    <definedName name="PriMoBuyThrgh_Sheet" localSheetId="9">#REF!</definedName>
    <definedName name="PriMoBuyThrgh_Sheet" localSheetId="8">#REF!</definedName>
    <definedName name="PriMoBuyThrgh_Sheet">#REF!</definedName>
    <definedName name="PriMoCityStZip" localSheetId="5">#REF!</definedName>
    <definedName name="PriMoCityStZip" localSheetId="6">#REF!</definedName>
    <definedName name="PriMoCityStZip" localSheetId="7">#REF!</definedName>
    <definedName name="PriMoCityStZip" localSheetId="9">#REF!</definedName>
    <definedName name="PriMoCityStZip" localSheetId="8">#REF!</definedName>
    <definedName name="PriMoCityStZip">#REF!</definedName>
    <definedName name="PriMoCustName" localSheetId="5">#REF!</definedName>
    <definedName name="PriMoCustName" localSheetId="6">#REF!</definedName>
    <definedName name="PriMoCustName" localSheetId="7">#REF!</definedName>
    <definedName name="PriMoCustName" localSheetId="9">#REF!</definedName>
    <definedName name="PriMoCustName" localSheetId="8">#REF!</definedName>
    <definedName name="PriMoCustName">#REF!</definedName>
    <definedName name="PriMoMtrMult" localSheetId="5">#REF!</definedName>
    <definedName name="PriMoMtrMult" localSheetId="6">#REF!</definedName>
    <definedName name="PriMoMtrMult" localSheetId="7">#REF!</definedName>
    <definedName name="PriMoMtrMult" localSheetId="9">#REF!</definedName>
    <definedName name="PriMoMtrMult" localSheetId="8">#REF!</definedName>
    <definedName name="PriMoMtrMult">#REF!</definedName>
    <definedName name="_xlnm.Print_Area" localSheetId="4">'OKT 2013 True-Up TCOS'!$A$1:$L$332</definedName>
    <definedName name="_xlnm.Print_Area" localSheetId="5">'OKT 2014 True-Up TCOS'!$A$1:$L$332</definedName>
    <definedName name="_xlnm.Print_Area" localSheetId="6">'OKT 2015 True-Up TCOS'!$A$1:$L$332</definedName>
    <definedName name="_xlnm.Print_Area" localSheetId="7">'OKT 2016 True-Up TCOS'!$A$1:$L$332</definedName>
    <definedName name="_xlnm.Print_Area" localSheetId="9">'OKT 2017 True-Up TCOS - 10.5%'!$A$1:$L$332</definedName>
    <definedName name="_xlnm.Print_Area" localSheetId="8">'OKT 2017 True-Up TCOS - 11.2%'!$A$1:$L$332</definedName>
    <definedName name="_xlnm.Print_Area" localSheetId="0">'Refund By Load'!$B$1:$D$26</definedName>
    <definedName name="_xlnm.Print_Area">#REF!</definedName>
    <definedName name="PROSPECT" localSheetId="2">#REF!</definedName>
    <definedName name="PROSPECT" localSheetId="9">#REF!</definedName>
    <definedName name="PROSPECT">#REF!</definedName>
    <definedName name="PRVCNT" localSheetId="5">#REF!</definedName>
    <definedName name="PRVCNT" localSheetId="6">#REF!</definedName>
    <definedName name="PRVCNT" localSheetId="7">#REF!</definedName>
    <definedName name="PRVCNT" localSheetId="9">#REF!</definedName>
    <definedName name="PRVCNT" localSheetId="8">#REF!</definedName>
    <definedName name="PRVCNT">#REF!</definedName>
    <definedName name="PRVDATE" localSheetId="5">#REF!</definedName>
    <definedName name="PRVDATE" localSheetId="6">#REF!</definedName>
    <definedName name="PRVDATE" localSheetId="7">#REF!</definedName>
    <definedName name="PRVDATE" localSheetId="9">#REF!</definedName>
    <definedName name="PRVDATE" localSheetId="8">#REF!</definedName>
    <definedName name="PRVDATE">#REF!</definedName>
    <definedName name="PRVFUEL" localSheetId="5">#REF!</definedName>
    <definedName name="PRVFUEL" localSheetId="6">#REF!</definedName>
    <definedName name="PRVFUEL" localSheetId="7">#REF!</definedName>
    <definedName name="PRVFUEL" localSheetId="9">#REF!</definedName>
    <definedName name="PRVFUEL" localSheetId="8">#REF!</definedName>
    <definedName name="PRVFUEL">#REF!</definedName>
    <definedName name="PRVKW" localSheetId="5">#REF!</definedName>
    <definedName name="PRVKW" localSheetId="6">#REF!</definedName>
    <definedName name="PRVKW" localSheetId="7">#REF!</definedName>
    <definedName name="PRVKW" localSheetId="9">#REF!</definedName>
    <definedName name="PRVKW" localSheetId="8">#REF!</definedName>
    <definedName name="PRVKW">#REF!</definedName>
    <definedName name="PRVKWH" localSheetId="5">#REF!</definedName>
    <definedName name="PRVKWH" localSheetId="6">#REF!</definedName>
    <definedName name="PRVKWH" localSheetId="7">#REF!</definedName>
    <definedName name="PRVKWH" localSheetId="9">#REF!</definedName>
    <definedName name="PRVKWH" localSheetId="8">#REF!</definedName>
    <definedName name="PRVKWH">#REF!</definedName>
    <definedName name="PRVMSRR" localSheetId="5">#REF!</definedName>
    <definedName name="PRVMSRR" localSheetId="6">#REF!</definedName>
    <definedName name="PRVMSRR" localSheetId="7">#REF!</definedName>
    <definedName name="PRVMSRR" localSheetId="9">#REF!</definedName>
    <definedName name="PRVMSRR" localSheetId="8">#REF!</definedName>
    <definedName name="PRVMSRR">#REF!</definedName>
    <definedName name="PRVPFCC" localSheetId="5">#REF!</definedName>
    <definedName name="PRVPFCC" localSheetId="6">#REF!</definedName>
    <definedName name="PRVPFCC" localSheetId="7">#REF!</definedName>
    <definedName name="PRVPFCC" localSheetId="9">#REF!</definedName>
    <definedName name="PRVPFCC" localSheetId="8">#REF!</definedName>
    <definedName name="PRVPFCC">#REF!</definedName>
    <definedName name="PSO_Hist_Allocators" localSheetId="5">'[3]OKT Historic TCOS'!$I$368:$J$375</definedName>
    <definedName name="PSO_Hist_Allocators" localSheetId="6">'[4]OKT Historic TCOS'!$I$368:$J$375</definedName>
    <definedName name="PSO_Hist_Allocators" localSheetId="7">'[5]OKT Historic TCOS'!$I$368:$J$375</definedName>
    <definedName name="PSO_Hist_Allocators" localSheetId="9">'[6]OKT Historic TCOS'!$I$368:$J$375</definedName>
    <definedName name="PSO_Hist_Allocators" localSheetId="8">'[6]OKT Historic TCOS'!$I$368:$J$375</definedName>
    <definedName name="PSO_Hist_Allocators">'[2]OKT Historic TCOS'!$I$368:$J$375</definedName>
    <definedName name="PSO_Proj_Allocators" localSheetId="5">'[3]OKT Projected TCOS'!$I$367:$J$375</definedName>
    <definedName name="PSO_Proj_Allocators" localSheetId="6">'[4]OKT Projected TCOS'!$I$367:$J$375</definedName>
    <definedName name="PSO_Proj_Allocators" localSheetId="7">'[5]OKT Projected TCOS'!$I$367:$J$375</definedName>
    <definedName name="PSO_Proj_Allocators" localSheetId="9">'[6]OKT Projected TCOS'!$I$367:$J$375</definedName>
    <definedName name="PSO_Proj_Allocators" localSheetId="8">'[6]OKT Projected TCOS'!$I$367:$J$375</definedName>
    <definedName name="PSO_Proj_Allocators">'[2]OKT Projected TCOS'!$I$367:$J$375</definedName>
    <definedName name="PSO_TU_Allocators" localSheetId="5">'OKT 2014 True-Up TCOS'!$I$353:$J$361</definedName>
    <definedName name="PSO_TU_Allocators" localSheetId="6">'OKT 2015 True-Up TCOS'!$I$353:$J$361</definedName>
    <definedName name="PSO_TU_Allocators" localSheetId="7">'OKT 2016 True-Up TCOS'!$I$353:$J$361</definedName>
    <definedName name="PSO_TU_Allocators" localSheetId="9">'OKT 2017 True-Up TCOS - 10.5%'!$I$353:$J$361</definedName>
    <definedName name="PSO_TU_Allocators" localSheetId="8">'OKT 2017 True-Up TCOS - 11.2%'!$I$353:$J$361</definedName>
    <definedName name="PSO_TU_Allocators">'OKT 2013 True-Up TCOS'!$I$353:$J$361</definedName>
    <definedName name="PSOallocatorsH" localSheetId="4">'OKT 2013 True-Up TCOS'!$I$395:$J$406</definedName>
    <definedName name="PSOallocatorsH" localSheetId="5">'OKT 2014 True-Up TCOS'!$I$395:$J$406</definedName>
    <definedName name="PSOallocatorsH" localSheetId="6">'OKT 2015 True-Up TCOS'!$I$395:$J$406</definedName>
    <definedName name="PSOallocatorsH" localSheetId="7">'OKT 2016 True-Up TCOS'!$I$395:$J$406</definedName>
    <definedName name="PSOallocatorsH" localSheetId="9">'OKT 2017 True-Up TCOS - 10.5%'!$I$395:$J$406</definedName>
    <definedName name="PSOallocatorsH" localSheetId="8">'OKT 2017 True-Up TCOS - 11.2%'!$I$395:$J$406</definedName>
    <definedName name="PSOallocatorsP" localSheetId="5">#REF!</definedName>
    <definedName name="PSOallocatorsP" localSheetId="6">#REF!</definedName>
    <definedName name="PSOallocatorsP" localSheetId="7">#REF!</definedName>
    <definedName name="PSOallocatorsP" localSheetId="9">#REF!</definedName>
    <definedName name="PSOallocatorsP" localSheetId="8">#REF!</definedName>
    <definedName name="PSOallocatorsP">#REF!</definedName>
    <definedName name="PVHIOFPCBL" localSheetId="5">#REF!</definedName>
    <definedName name="PVHIOFPCBL" localSheetId="6">#REF!</definedName>
    <definedName name="PVHIOFPCBL" localSheetId="7">#REF!</definedName>
    <definedName name="PVHIOFPCBL" localSheetId="9">#REF!</definedName>
    <definedName name="PVHIOFPCBL" localSheetId="8">#REF!</definedName>
    <definedName name="PVHIOFPCBL">#REF!</definedName>
    <definedName name="PVHIOPCBL" localSheetId="5">#REF!</definedName>
    <definedName name="PVHIOPCBL" localSheetId="6">#REF!</definedName>
    <definedName name="PVHIOPCBL" localSheetId="7">#REF!</definedName>
    <definedName name="PVHIOPCBL" localSheetId="9">#REF!</definedName>
    <definedName name="PVHIOPCBL" localSheetId="8">#REF!</definedName>
    <definedName name="PVHIOPCBL">#REF!</definedName>
    <definedName name="RatchetFactor" localSheetId="5">#REF!</definedName>
    <definedName name="RatchetFactor" localSheetId="6">#REF!</definedName>
    <definedName name="RatchetFactor" localSheetId="7">#REF!</definedName>
    <definedName name="RatchetFactor" localSheetId="9">#REF!</definedName>
    <definedName name="RatchetFactor" localSheetId="8">#REF!</definedName>
    <definedName name="RatchetFactor">#REF!</definedName>
    <definedName name="RCRDRID" localSheetId="5">#REF!</definedName>
    <definedName name="RCRDRID" localSheetId="6">#REF!</definedName>
    <definedName name="RCRDRID" localSheetId="7">#REF!</definedName>
    <definedName name="RCRDRID" localSheetId="9">#REF!</definedName>
    <definedName name="RCRDRID" localSheetId="8">#REF!</definedName>
    <definedName name="RCRDRID">#REF!</definedName>
    <definedName name="RCTVHRS" localSheetId="5">#REF!</definedName>
    <definedName name="RCTVHRS" localSheetId="6">#REF!</definedName>
    <definedName name="RCTVHRS" localSheetId="7">#REF!</definedName>
    <definedName name="RCTVHRS" localSheetId="9">#REF!</definedName>
    <definedName name="RCTVHRS" localSheetId="8">#REF!</definedName>
    <definedName name="RCTVHRS">#REF!</definedName>
    <definedName name="RDRBLK1C" localSheetId="5">#REF!</definedName>
    <definedName name="RDRBLK1C" localSheetId="6">#REF!</definedName>
    <definedName name="RDRBLK1C" localSheetId="7">#REF!</definedName>
    <definedName name="RDRBLK1C" localSheetId="9">#REF!</definedName>
    <definedName name="RDRBLK1C" localSheetId="8">#REF!</definedName>
    <definedName name="RDRBLK1C">#REF!</definedName>
    <definedName name="RDRBLK1Q" localSheetId="5">#REF!</definedName>
    <definedName name="RDRBLK1Q" localSheetId="6">#REF!</definedName>
    <definedName name="RDRBLK1Q" localSheetId="7">#REF!</definedName>
    <definedName name="RDRBLK1Q" localSheetId="9">#REF!</definedName>
    <definedName name="RDRBLK1Q" localSheetId="8">#REF!</definedName>
    <definedName name="RDRBLK1Q">#REF!</definedName>
    <definedName name="RDRBLK2C" localSheetId="5">#REF!</definedName>
    <definedName name="RDRBLK2C" localSheetId="6">#REF!</definedName>
    <definedName name="RDRBLK2C" localSheetId="7">#REF!</definedName>
    <definedName name="RDRBLK2C" localSheetId="9">#REF!</definedName>
    <definedName name="RDRBLK2C" localSheetId="8">#REF!</definedName>
    <definedName name="RDRBLK2C">#REF!</definedName>
    <definedName name="RDRBLK2Q" localSheetId="5">#REF!</definedName>
    <definedName name="RDRBLK2Q" localSheetId="6">#REF!</definedName>
    <definedName name="RDRBLK2Q" localSheetId="7">#REF!</definedName>
    <definedName name="RDRBLK2Q" localSheetId="9">#REF!</definedName>
    <definedName name="RDRBLK2Q" localSheetId="8">#REF!</definedName>
    <definedName name="RDRBLK2Q">#REF!</definedName>
    <definedName name="RDRBLK3C" localSheetId="5">#REF!</definedName>
    <definedName name="RDRBLK3C" localSheetId="6">#REF!</definedName>
    <definedName name="RDRBLK3C" localSheetId="7">#REF!</definedName>
    <definedName name="RDRBLK3C" localSheetId="9">#REF!</definedName>
    <definedName name="RDRBLK3C" localSheetId="8">#REF!</definedName>
    <definedName name="RDRBLK3C">#REF!</definedName>
    <definedName name="RDRBLK3Q" localSheetId="5">#REF!</definedName>
    <definedName name="RDRBLK3Q" localSheetId="6">#REF!</definedName>
    <definedName name="RDRBLK3Q" localSheetId="7">#REF!</definedName>
    <definedName name="RDRBLK3Q" localSheetId="9">#REF!</definedName>
    <definedName name="RDRBLK3Q" localSheetId="8">#REF!</definedName>
    <definedName name="RDRBLK3Q">#REF!</definedName>
    <definedName name="RDRBLKTC" localSheetId="5">#REF!</definedName>
    <definedName name="RDRBLKTC" localSheetId="6">#REF!</definedName>
    <definedName name="RDRBLKTC" localSheetId="7">#REF!</definedName>
    <definedName name="RDRBLKTC" localSheetId="9">#REF!</definedName>
    <definedName name="RDRBLKTC" localSheetId="8">#REF!</definedName>
    <definedName name="RDRBLKTC">#REF!</definedName>
    <definedName name="RDRBLKTC1" localSheetId="5">#REF!</definedName>
    <definedName name="RDRBLKTC1" localSheetId="6">#REF!</definedName>
    <definedName name="RDRBLKTC1" localSheetId="7">#REF!</definedName>
    <definedName name="RDRBLKTC1" localSheetId="9">#REF!</definedName>
    <definedName name="RDRBLKTC1" localSheetId="8">#REF!</definedName>
    <definedName name="RDRBLKTC1">#REF!</definedName>
    <definedName name="RDRBLKTC10" localSheetId="5">#REF!</definedName>
    <definedName name="RDRBLKTC10" localSheetId="6">#REF!</definedName>
    <definedName name="RDRBLKTC10" localSheetId="7">#REF!</definedName>
    <definedName name="RDRBLKTC10" localSheetId="9">#REF!</definedName>
    <definedName name="RDRBLKTC10" localSheetId="8">#REF!</definedName>
    <definedName name="RDRBLKTC10">#REF!</definedName>
    <definedName name="RDRBLKTC11" localSheetId="5">#REF!</definedName>
    <definedName name="RDRBLKTC11" localSheetId="6">#REF!</definedName>
    <definedName name="RDRBLKTC11" localSheetId="7">#REF!</definedName>
    <definedName name="RDRBLKTC11" localSheetId="9">#REF!</definedName>
    <definedName name="RDRBLKTC11" localSheetId="8">#REF!</definedName>
    <definedName name="RDRBLKTC11">#REF!</definedName>
    <definedName name="RDRBLKTC12" localSheetId="5">#REF!</definedName>
    <definedName name="RDRBLKTC12" localSheetId="6">#REF!</definedName>
    <definedName name="RDRBLKTC12" localSheetId="7">#REF!</definedName>
    <definedName name="RDRBLKTC12" localSheetId="9">#REF!</definedName>
    <definedName name="RDRBLKTC12" localSheetId="8">#REF!</definedName>
    <definedName name="RDRBLKTC12">#REF!</definedName>
    <definedName name="RDRBLKTC13" localSheetId="5">#REF!</definedName>
    <definedName name="RDRBLKTC13" localSheetId="6">#REF!</definedName>
    <definedName name="RDRBLKTC13" localSheetId="7">#REF!</definedName>
    <definedName name="RDRBLKTC13" localSheetId="9">#REF!</definedName>
    <definedName name="RDRBLKTC13" localSheetId="8">#REF!</definedName>
    <definedName name="RDRBLKTC13">#REF!</definedName>
    <definedName name="RDRBLKTC14" localSheetId="5">#REF!</definedName>
    <definedName name="RDRBLKTC14" localSheetId="6">#REF!</definedName>
    <definedName name="RDRBLKTC14" localSheetId="7">#REF!</definedName>
    <definedName name="RDRBLKTC14" localSheetId="9">#REF!</definedName>
    <definedName name="RDRBLKTC14" localSheetId="8">#REF!</definedName>
    <definedName name="RDRBLKTC14">#REF!</definedName>
    <definedName name="RDRBLKTC15" localSheetId="5">#REF!</definedName>
    <definedName name="RDRBLKTC15" localSheetId="6">#REF!</definedName>
    <definedName name="RDRBLKTC15" localSheetId="7">#REF!</definedName>
    <definedName name="RDRBLKTC15" localSheetId="9">#REF!</definedName>
    <definedName name="RDRBLKTC15" localSheetId="8">#REF!</definedName>
    <definedName name="RDRBLKTC15">#REF!</definedName>
    <definedName name="RDRBLKTC16" localSheetId="5">#REF!</definedName>
    <definedName name="RDRBLKTC16" localSheetId="6">#REF!</definedName>
    <definedName name="RDRBLKTC16" localSheetId="7">#REF!</definedName>
    <definedName name="RDRBLKTC16" localSheetId="9">#REF!</definedName>
    <definedName name="RDRBLKTC16" localSheetId="8">#REF!</definedName>
    <definedName name="RDRBLKTC16">#REF!</definedName>
    <definedName name="RDRBLKTC17" localSheetId="5">#REF!</definedName>
    <definedName name="RDRBLKTC17" localSheetId="6">#REF!</definedName>
    <definedName name="RDRBLKTC17" localSheetId="7">#REF!</definedName>
    <definedName name="RDRBLKTC17" localSheetId="9">#REF!</definedName>
    <definedName name="RDRBLKTC17" localSheetId="8">#REF!</definedName>
    <definedName name="RDRBLKTC17">#REF!</definedName>
    <definedName name="RDRBLKTC18" localSheetId="5">#REF!</definedName>
    <definedName name="RDRBLKTC18" localSheetId="6">#REF!</definedName>
    <definedName name="RDRBLKTC18" localSheetId="7">#REF!</definedName>
    <definedName name="RDRBLKTC18" localSheetId="9">#REF!</definedName>
    <definedName name="RDRBLKTC18" localSheetId="8">#REF!</definedName>
    <definedName name="RDRBLKTC18">#REF!</definedName>
    <definedName name="RDRBLKTC19" localSheetId="5">#REF!</definedName>
    <definedName name="RDRBLKTC19" localSheetId="6">#REF!</definedName>
    <definedName name="RDRBLKTC19" localSheetId="7">#REF!</definedName>
    <definedName name="RDRBLKTC19" localSheetId="9">#REF!</definedName>
    <definedName name="RDRBLKTC19" localSheetId="8">#REF!</definedName>
    <definedName name="RDRBLKTC19">#REF!</definedName>
    <definedName name="RDRBLKTC2" localSheetId="5">#REF!</definedName>
    <definedName name="RDRBLKTC2" localSheetId="6">#REF!</definedName>
    <definedName name="RDRBLKTC2" localSheetId="7">#REF!</definedName>
    <definedName name="RDRBLKTC2" localSheetId="9">#REF!</definedName>
    <definedName name="RDRBLKTC2" localSheetId="8">#REF!</definedName>
    <definedName name="RDRBLKTC2">#REF!</definedName>
    <definedName name="RDRBLKTC20" localSheetId="5">#REF!</definedName>
    <definedName name="RDRBLKTC20" localSheetId="6">#REF!</definedName>
    <definedName name="RDRBLKTC20" localSheetId="7">#REF!</definedName>
    <definedName name="RDRBLKTC20" localSheetId="9">#REF!</definedName>
    <definedName name="RDRBLKTC20" localSheetId="8">#REF!</definedName>
    <definedName name="RDRBLKTC20">#REF!</definedName>
    <definedName name="RDRBLKTC3" localSheetId="5">#REF!</definedName>
    <definedName name="RDRBLKTC3" localSheetId="6">#REF!</definedName>
    <definedName name="RDRBLKTC3" localSheetId="7">#REF!</definedName>
    <definedName name="RDRBLKTC3" localSheetId="9">#REF!</definedName>
    <definedName name="RDRBLKTC3" localSheetId="8">#REF!</definedName>
    <definedName name="RDRBLKTC3">#REF!</definedName>
    <definedName name="RDRBLKTC4" localSheetId="5">#REF!</definedName>
    <definedName name="RDRBLKTC4" localSheetId="6">#REF!</definedName>
    <definedName name="RDRBLKTC4" localSheetId="7">#REF!</definedName>
    <definedName name="RDRBLKTC4" localSheetId="9">#REF!</definedName>
    <definedName name="RDRBLKTC4" localSheetId="8">#REF!</definedName>
    <definedName name="RDRBLKTC4">#REF!</definedName>
    <definedName name="RDRBLKTC5" localSheetId="5">#REF!</definedName>
    <definedName name="RDRBLKTC5" localSheetId="6">#REF!</definedName>
    <definedName name="RDRBLKTC5" localSheetId="7">#REF!</definedName>
    <definedName name="RDRBLKTC5" localSheetId="9">#REF!</definedName>
    <definedName name="RDRBLKTC5" localSheetId="8">#REF!</definedName>
    <definedName name="RDRBLKTC5">#REF!</definedName>
    <definedName name="RDRBLKTC6" localSheetId="5">#REF!</definedName>
    <definedName name="RDRBLKTC6" localSheetId="6">#REF!</definedName>
    <definedName name="RDRBLKTC6" localSheetId="7">#REF!</definedName>
    <definedName name="RDRBLKTC6" localSheetId="9">#REF!</definedName>
    <definedName name="RDRBLKTC6" localSheetId="8">#REF!</definedName>
    <definedName name="RDRBLKTC6">#REF!</definedName>
    <definedName name="RDRBLKTC7" localSheetId="5">#REF!</definedName>
    <definedName name="RDRBLKTC7" localSheetId="6">#REF!</definedName>
    <definedName name="RDRBLKTC7" localSheetId="7">#REF!</definedName>
    <definedName name="RDRBLKTC7" localSheetId="9">#REF!</definedName>
    <definedName name="RDRBLKTC7" localSheetId="8">#REF!</definedName>
    <definedName name="RDRBLKTC7">#REF!</definedName>
    <definedName name="RDRBLKTC8" localSheetId="5">#REF!</definedName>
    <definedName name="RDRBLKTC8" localSheetId="6">#REF!</definedName>
    <definedName name="RDRBLKTC8" localSheetId="7">#REF!</definedName>
    <definedName name="RDRBLKTC8" localSheetId="9">#REF!</definedName>
    <definedName name="RDRBLKTC8" localSheetId="8">#REF!</definedName>
    <definedName name="RDRBLKTC8">#REF!</definedName>
    <definedName name="RDRBLKTC9" localSheetId="5">#REF!</definedName>
    <definedName name="RDRBLKTC9" localSheetId="6">#REF!</definedName>
    <definedName name="RDRBLKTC9" localSheetId="7">#REF!</definedName>
    <definedName name="RDRBLKTC9" localSheetId="9">#REF!</definedName>
    <definedName name="RDRBLKTC9" localSheetId="8">#REF!</definedName>
    <definedName name="RDRBLKTC9">#REF!</definedName>
    <definedName name="RDRBLKTQ" localSheetId="5">#REF!</definedName>
    <definedName name="RDRBLKTQ" localSheetId="6">#REF!</definedName>
    <definedName name="RDRBLKTQ" localSheetId="7">#REF!</definedName>
    <definedName name="RDRBLKTQ" localSheetId="9">#REF!</definedName>
    <definedName name="RDRBLKTQ" localSheetId="8">#REF!</definedName>
    <definedName name="RDRBLKTQ">#REF!</definedName>
    <definedName name="RDRCODE" localSheetId="5">#REF!</definedName>
    <definedName name="RDRCODE" localSheetId="6">#REF!</definedName>
    <definedName name="RDRCODE" localSheetId="7">#REF!</definedName>
    <definedName name="RDRCODE" localSheetId="9">#REF!</definedName>
    <definedName name="RDRCODE" localSheetId="8">#REF!</definedName>
    <definedName name="RDRCODE">#REF!</definedName>
    <definedName name="RDRCYCLE" localSheetId="5">#REF!</definedName>
    <definedName name="RDRCYCLE" localSheetId="6">#REF!</definedName>
    <definedName name="RDRCYCLE" localSheetId="7">#REF!</definedName>
    <definedName name="RDRCYCLE" localSheetId="9">#REF!</definedName>
    <definedName name="RDRCYCLE" localSheetId="8">#REF!</definedName>
    <definedName name="RDRCYCLE">#REF!</definedName>
    <definedName name="RDRDATE" localSheetId="5">#REF!</definedName>
    <definedName name="RDRDATE" localSheetId="6">#REF!</definedName>
    <definedName name="RDRDATE" localSheetId="7">#REF!</definedName>
    <definedName name="RDRDATE" localSheetId="9">#REF!</definedName>
    <definedName name="RDRDATE" localSheetId="8">#REF!</definedName>
    <definedName name="RDRDATE">#REF!</definedName>
    <definedName name="RDRNAME" localSheetId="5">#REF!</definedName>
    <definedName name="RDRNAME" localSheetId="6">#REF!</definedName>
    <definedName name="RDRNAME" localSheetId="7">#REF!</definedName>
    <definedName name="RDRNAME" localSheetId="9">#REF!</definedName>
    <definedName name="RDRNAME" localSheetId="8">#REF!</definedName>
    <definedName name="RDRNAME">#REF!</definedName>
    <definedName name="RDRRATEB" localSheetId="5">#REF!</definedName>
    <definedName name="RDRRATEB" localSheetId="6">#REF!</definedName>
    <definedName name="RDRRATEB" localSheetId="7">#REF!</definedName>
    <definedName name="RDRRATEB" localSheetId="9">#REF!</definedName>
    <definedName name="RDRRATEB" localSheetId="8">#REF!</definedName>
    <definedName name="RDRRATEB">#REF!</definedName>
    <definedName name="RDRRATEB1" localSheetId="5">#REF!</definedName>
    <definedName name="RDRRATEB1" localSheetId="6">#REF!</definedName>
    <definedName name="RDRRATEB1" localSheetId="7">#REF!</definedName>
    <definedName name="RDRRATEB1" localSheetId="9">#REF!</definedName>
    <definedName name="RDRRATEB1" localSheetId="8">#REF!</definedName>
    <definedName name="RDRRATEB1">#REF!</definedName>
    <definedName name="RDRRATEB10" localSheetId="5">#REF!</definedName>
    <definedName name="RDRRATEB10" localSheetId="6">#REF!</definedName>
    <definedName name="RDRRATEB10" localSheetId="7">#REF!</definedName>
    <definedName name="RDRRATEB10" localSheetId="9">#REF!</definedName>
    <definedName name="RDRRATEB10" localSheetId="8">#REF!</definedName>
    <definedName name="RDRRATEB10">#REF!</definedName>
    <definedName name="RDRRATEB11" localSheetId="5">#REF!</definedName>
    <definedName name="RDRRATEB11" localSheetId="6">#REF!</definedName>
    <definedName name="RDRRATEB11" localSheetId="7">#REF!</definedName>
    <definedName name="RDRRATEB11" localSheetId="9">#REF!</definedName>
    <definedName name="RDRRATEB11" localSheetId="8">#REF!</definedName>
    <definedName name="RDRRATEB11">#REF!</definedName>
    <definedName name="RDRRATEB12" localSheetId="5">#REF!</definedName>
    <definedName name="RDRRATEB12" localSheetId="6">#REF!</definedName>
    <definedName name="RDRRATEB12" localSheetId="7">#REF!</definedName>
    <definedName name="RDRRATEB12" localSheetId="9">#REF!</definedName>
    <definedName name="RDRRATEB12" localSheetId="8">#REF!</definedName>
    <definedName name="RDRRATEB12">#REF!</definedName>
    <definedName name="RDRRATEB13" localSheetId="5">#REF!</definedName>
    <definedName name="RDRRATEB13" localSheetId="6">#REF!</definedName>
    <definedName name="RDRRATEB13" localSheetId="7">#REF!</definedName>
    <definedName name="RDRRATEB13" localSheetId="9">#REF!</definedName>
    <definedName name="RDRRATEB13" localSheetId="8">#REF!</definedName>
    <definedName name="RDRRATEB13">#REF!</definedName>
    <definedName name="RDRRATEB14" localSheetId="5">#REF!</definedName>
    <definedName name="RDRRATEB14" localSheetId="6">#REF!</definedName>
    <definedName name="RDRRATEB14" localSheetId="7">#REF!</definedName>
    <definedName name="RDRRATEB14" localSheetId="9">#REF!</definedName>
    <definedName name="RDRRATEB14" localSheetId="8">#REF!</definedName>
    <definedName name="RDRRATEB14">#REF!</definedName>
    <definedName name="RDRRATEB15" localSheetId="5">#REF!</definedName>
    <definedName name="RDRRATEB15" localSheetId="6">#REF!</definedName>
    <definedName name="RDRRATEB15" localSheetId="7">#REF!</definedName>
    <definedName name="RDRRATEB15" localSheetId="9">#REF!</definedName>
    <definedName name="RDRRATEB15" localSheetId="8">#REF!</definedName>
    <definedName name="RDRRATEB15">#REF!</definedName>
    <definedName name="RDRRATEB16" localSheetId="5">#REF!</definedName>
    <definedName name="RDRRATEB16" localSheetId="6">#REF!</definedName>
    <definedName name="RDRRATEB16" localSheetId="7">#REF!</definedName>
    <definedName name="RDRRATEB16" localSheetId="9">#REF!</definedName>
    <definedName name="RDRRATEB16" localSheetId="8">#REF!</definedName>
    <definedName name="RDRRATEB16">#REF!</definedName>
    <definedName name="RDRRATEB17" localSheetId="5">#REF!</definedName>
    <definedName name="RDRRATEB17" localSheetId="6">#REF!</definedName>
    <definedName name="RDRRATEB17" localSheetId="7">#REF!</definedName>
    <definedName name="RDRRATEB17" localSheetId="9">#REF!</definedName>
    <definedName name="RDRRATEB17" localSheetId="8">#REF!</definedName>
    <definedName name="RDRRATEB17">#REF!</definedName>
    <definedName name="RDRRATEB18" localSheetId="5">#REF!</definedName>
    <definedName name="RDRRATEB18" localSheetId="6">#REF!</definedName>
    <definedName name="RDRRATEB18" localSheetId="7">#REF!</definedName>
    <definedName name="RDRRATEB18" localSheetId="9">#REF!</definedName>
    <definedName name="RDRRATEB18" localSheetId="8">#REF!</definedName>
    <definedName name="RDRRATEB18">#REF!</definedName>
    <definedName name="RDRRATEB19" localSheetId="5">#REF!</definedName>
    <definedName name="RDRRATEB19" localSheetId="6">#REF!</definedName>
    <definedName name="RDRRATEB19" localSheetId="7">#REF!</definedName>
    <definedName name="RDRRATEB19" localSheetId="9">#REF!</definedName>
    <definedName name="RDRRATEB19" localSheetId="8">#REF!</definedName>
    <definedName name="RDRRATEB19">#REF!</definedName>
    <definedName name="RDRRATEB2" localSheetId="5">#REF!</definedName>
    <definedName name="RDRRATEB2" localSheetId="6">#REF!</definedName>
    <definedName name="RDRRATEB2" localSheetId="7">#REF!</definedName>
    <definedName name="RDRRATEB2" localSheetId="9">#REF!</definedName>
    <definedName name="RDRRATEB2" localSheetId="8">#REF!</definedName>
    <definedName name="RDRRATEB2">#REF!</definedName>
    <definedName name="RDRRATEB20" localSheetId="5">#REF!</definedName>
    <definedName name="RDRRATEB20" localSheetId="6">#REF!</definedName>
    <definedName name="RDRRATEB20" localSheetId="7">#REF!</definedName>
    <definedName name="RDRRATEB20" localSheetId="9">#REF!</definedName>
    <definedName name="RDRRATEB20" localSheetId="8">#REF!</definedName>
    <definedName name="RDRRATEB20">#REF!</definedName>
    <definedName name="RDRRATEB3" localSheetId="5">#REF!</definedName>
    <definedName name="RDRRATEB3" localSheetId="6">#REF!</definedName>
    <definedName name="RDRRATEB3" localSheetId="7">#REF!</definedName>
    <definedName name="RDRRATEB3" localSheetId="9">#REF!</definedName>
    <definedName name="RDRRATEB3" localSheetId="8">#REF!</definedName>
    <definedName name="RDRRATEB3">#REF!</definedName>
    <definedName name="RDRRATEB4" localSheetId="5">#REF!</definedName>
    <definedName name="RDRRATEB4" localSheetId="6">#REF!</definedName>
    <definedName name="RDRRATEB4" localSheetId="7">#REF!</definedName>
    <definedName name="RDRRATEB4" localSheetId="9">#REF!</definedName>
    <definedName name="RDRRATEB4" localSheetId="8">#REF!</definedName>
    <definedName name="RDRRATEB4">#REF!</definedName>
    <definedName name="RDRRATEB5" localSheetId="5">#REF!</definedName>
    <definedName name="RDRRATEB5" localSheetId="6">#REF!</definedName>
    <definedName name="RDRRATEB5" localSheetId="7">#REF!</definedName>
    <definedName name="RDRRATEB5" localSheetId="9">#REF!</definedName>
    <definedName name="RDRRATEB5" localSheetId="8">#REF!</definedName>
    <definedName name="RDRRATEB5">#REF!</definedName>
    <definedName name="RDRRATEB6" localSheetId="5">#REF!</definedName>
    <definedName name="RDRRATEB6" localSheetId="6">#REF!</definedName>
    <definedName name="RDRRATEB6" localSheetId="7">#REF!</definedName>
    <definedName name="RDRRATEB6" localSheetId="9">#REF!</definedName>
    <definedName name="RDRRATEB6" localSheetId="8">#REF!</definedName>
    <definedName name="RDRRATEB6">#REF!</definedName>
    <definedName name="RDRRATEB7" localSheetId="5">#REF!</definedName>
    <definedName name="RDRRATEB7" localSheetId="6">#REF!</definedName>
    <definedName name="RDRRATEB7" localSheetId="7">#REF!</definedName>
    <definedName name="RDRRATEB7" localSheetId="9">#REF!</definedName>
    <definedName name="RDRRATEB7" localSheetId="8">#REF!</definedName>
    <definedName name="RDRRATEB7">#REF!</definedName>
    <definedName name="RDRRATEB8" localSheetId="5">#REF!</definedName>
    <definedName name="RDRRATEB8" localSheetId="6">#REF!</definedName>
    <definedName name="RDRRATEB8" localSheetId="7">#REF!</definedName>
    <definedName name="RDRRATEB8" localSheetId="9">#REF!</definedName>
    <definedName name="RDRRATEB8" localSheetId="8">#REF!</definedName>
    <definedName name="RDRRATEB8">#REF!</definedName>
    <definedName name="RDRRATEB9" localSheetId="5">#REF!</definedName>
    <definedName name="RDRRATEB9" localSheetId="6">#REF!</definedName>
    <definedName name="RDRRATEB9" localSheetId="7">#REF!</definedName>
    <definedName name="RDRRATEB9" localSheetId="9">#REF!</definedName>
    <definedName name="RDRRATEB9" localSheetId="8">#REF!</definedName>
    <definedName name="RDRRATEB9">#REF!</definedName>
    <definedName name="RDRRATED" localSheetId="5">#REF!</definedName>
    <definedName name="RDRRATED" localSheetId="6">#REF!</definedName>
    <definedName name="RDRRATED" localSheetId="7">#REF!</definedName>
    <definedName name="RDRRATED" localSheetId="9">#REF!</definedName>
    <definedName name="RDRRATED" localSheetId="8">#REF!</definedName>
    <definedName name="RDRRATED">#REF!</definedName>
    <definedName name="RDRRATED1" localSheetId="5">#REF!</definedName>
    <definedName name="RDRRATED1" localSheetId="6">#REF!</definedName>
    <definedName name="RDRRATED1" localSheetId="7">#REF!</definedName>
    <definedName name="RDRRATED1" localSheetId="9">#REF!</definedName>
    <definedName name="RDRRATED1" localSheetId="8">#REF!</definedName>
    <definedName name="RDRRATED1">#REF!</definedName>
    <definedName name="RDRRATED10" localSheetId="5">#REF!</definedName>
    <definedName name="RDRRATED10" localSheetId="6">#REF!</definedName>
    <definedName name="RDRRATED10" localSheetId="7">#REF!</definedName>
    <definedName name="RDRRATED10" localSheetId="9">#REF!</definedName>
    <definedName name="RDRRATED10" localSheetId="8">#REF!</definedName>
    <definedName name="RDRRATED10">#REF!</definedName>
    <definedName name="RDRRATED11" localSheetId="5">#REF!</definedName>
    <definedName name="RDRRATED11" localSheetId="6">#REF!</definedName>
    <definedName name="RDRRATED11" localSheetId="7">#REF!</definedName>
    <definedName name="RDRRATED11" localSheetId="9">#REF!</definedName>
    <definedName name="RDRRATED11" localSheetId="8">#REF!</definedName>
    <definedName name="RDRRATED11">#REF!</definedName>
    <definedName name="RDRRATED12" localSheetId="5">#REF!</definedName>
    <definedName name="RDRRATED12" localSheetId="6">#REF!</definedName>
    <definedName name="RDRRATED12" localSheetId="7">#REF!</definedName>
    <definedName name="RDRRATED12" localSheetId="9">#REF!</definedName>
    <definedName name="RDRRATED12" localSheetId="8">#REF!</definedName>
    <definedName name="RDRRATED12">#REF!</definedName>
    <definedName name="RDRRATED13" localSheetId="5">#REF!</definedName>
    <definedName name="RDRRATED13" localSheetId="6">#REF!</definedName>
    <definedName name="RDRRATED13" localSheetId="7">#REF!</definedName>
    <definedName name="RDRRATED13" localSheetId="9">#REF!</definedName>
    <definedName name="RDRRATED13" localSheetId="8">#REF!</definedName>
    <definedName name="RDRRATED13">#REF!</definedName>
    <definedName name="RDRRATED14" localSheetId="5">#REF!</definedName>
    <definedName name="RDRRATED14" localSheetId="6">#REF!</definedName>
    <definedName name="RDRRATED14" localSheetId="7">#REF!</definedName>
    <definedName name="RDRRATED14" localSheetId="9">#REF!</definedName>
    <definedName name="RDRRATED14" localSheetId="8">#REF!</definedName>
    <definedName name="RDRRATED14">#REF!</definedName>
    <definedName name="RDRRATED15" localSheetId="5">#REF!</definedName>
    <definedName name="RDRRATED15" localSheetId="6">#REF!</definedName>
    <definedName name="RDRRATED15" localSheetId="7">#REF!</definedName>
    <definedName name="RDRRATED15" localSheetId="9">#REF!</definedName>
    <definedName name="RDRRATED15" localSheetId="8">#REF!</definedName>
    <definedName name="RDRRATED15">#REF!</definedName>
    <definedName name="RDRRATED16" localSheetId="5">#REF!</definedName>
    <definedName name="RDRRATED16" localSheetId="6">#REF!</definedName>
    <definedName name="RDRRATED16" localSheetId="7">#REF!</definedName>
    <definedName name="RDRRATED16" localSheetId="9">#REF!</definedName>
    <definedName name="RDRRATED16" localSheetId="8">#REF!</definedName>
    <definedName name="RDRRATED16">#REF!</definedName>
    <definedName name="RDRRATED17" localSheetId="5">#REF!</definedName>
    <definedName name="RDRRATED17" localSheetId="6">#REF!</definedName>
    <definedName name="RDRRATED17" localSheetId="7">#REF!</definedName>
    <definedName name="RDRRATED17" localSheetId="9">#REF!</definedName>
    <definedName name="RDRRATED17" localSheetId="8">#REF!</definedName>
    <definedName name="RDRRATED17">#REF!</definedName>
    <definedName name="RDRRATED18" localSheetId="5">#REF!</definedName>
    <definedName name="RDRRATED18" localSheetId="6">#REF!</definedName>
    <definedName name="RDRRATED18" localSheetId="7">#REF!</definedName>
    <definedName name="RDRRATED18" localSheetId="9">#REF!</definedName>
    <definedName name="RDRRATED18" localSheetId="8">#REF!</definedName>
    <definedName name="RDRRATED18">#REF!</definedName>
    <definedName name="RDRRATED19" localSheetId="5">#REF!</definedName>
    <definedName name="RDRRATED19" localSheetId="6">#REF!</definedName>
    <definedName name="RDRRATED19" localSheetId="7">#REF!</definedName>
    <definedName name="RDRRATED19" localSheetId="9">#REF!</definedName>
    <definedName name="RDRRATED19" localSheetId="8">#REF!</definedName>
    <definedName name="RDRRATED19">#REF!</definedName>
    <definedName name="RDRRATED2" localSheetId="5">#REF!</definedName>
    <definedName name="RDRRATED2" localSheetId="6">#REF!</definedName>
    <definedName name="RDRRATED2" localSheetId="7">#REF!</definedName>
    <definedName name="RDRRATED2" localSheetId="9">#REF!</definedName>
    <definedName name="RDRRATED2" localSheetId="8">#REF!</definedName>
    <definedName name="RDRRATED2">#REF!</definedName>
    <definedName name="RDRRATED20" localSheetId="5">#REF!</definedName>
    <definedName name="RDRRATED20" localSheetId="6">#REF!</definedName>
    <definedName name="RDRRATED20" localSheetId="7">#REF!</definedName>
    <definedName name="RDRRATED20" localSheetId="9">#REF!</definedName>
    <definedName name="RDRRATED20" localSheetId="8">#REF!</definedName>
    <definedName name="RDRRATED20">#REF!</definedName>
    <definedName name="RDRRATED3" localSheetId="5">#REF!</definedName>
    <definedName name="RDRRATED3" localSheetId="6">#REF!</definedName>
    <definedName name="RDRRATED3" localSheetId="7">#REF!</definedName>
    <definedName name="RDRRATED3" localSheetId="9">#REF!</definedName>
    <definedName name="RDRRATED3" localSheetId="8">#REF!</definedName>
    <definedName name="RDRRATED3">#REF!</definedName>
    <definedName name="RDRRATED4" localSheetId="5">#REF!</definedName>
    <definedName name="RDRRATED4" localSheetId="6">#REF!</definedName>
    <definedName name="RDRRATED4" localSheetId="7">#REF!</definedName>
    <definedName name="RDRRATED4" localSheetId="9">#REF!</definedName>
    <definedName name="RDRRATED4" localSheetId="8">#REF!</definedName>
    <definedName name="RDRRATED4">#REF!</definedName>
    <definedName name="RDRRATED5" localSheetId="5">#REF!</definedName>
    <definedName name="RDRRATED5" localSheetId="6">#REF!</definedName>
    <definedName name="RDRRATED5" localSheetId="7">#REF!</definedName>
    <definedName name="RDRRATED5" localSheetId="9">#REF!</definedName>
    <definedName name="RDRRATED5" localSheetId="8">#REF!</definedName>
    <definedName name="RDRRATED5">#REF!</definedName>
    <definedName name="RDRRATED6" localSheetId="5">#REF!</definedName>
    <definedName name="RDRRATED6" localSheetId="6">#REF!</definedName>
    <definedName name="RDRRATED6" localSheetId="7">#REF!</definedName>
    <definedName name="RDRRATED6" localSheetId="9">#REF!</definedName>
    <definedName name="RDRRATED6" localSheetId="8">#REF!</definedName>
    <definedName name="RDRRATED6">#REF!</definedName>
    <definedName name="RDRRATED7" localSheetId="5">#REF!</definedName>
    <definedName name="RDRRATED7" localSheetId="6">#REF!</definedName>
    <definedName name="RDRRATED7" localSheetId="7">#REF!</definedName>
    <definedName name="RDRRATED7" localSheetId="9">#REF!</definedName>
    <definedName name="RDRRATED7" localSheetId="8">#REF!</definedName>
    <definedName name="RDRRATED7">#REF!</definedName>
    <definedName name="RDRRATED8" localSheetId="5">#REF!</definedName>
    <definedName name="RDRRATED8" localSheetId="6">#REF!</definedName>
    <definedName name="RDRRATED8" localSheetId="7">#REF!</definedName>
    <definedName name="RDRRATED8" localSheetId="9">#REF!</definedName>
    <definedName name="RDRRATED8" localSheetId="8">#REF!</definedName>
    <definedName name="RDRRATED8">#REF!</definedName>
    <definedName name="RDRRATED9" localSheetId="5">#REF!</definedName>
    <definedName name="RDRRATED9" localSheetId="6">#REF!</definedName>
    <definedName name="RDRRATED9" localSheetId="7">#REF!</definedName>
    <definedName name="RDRRATED9" localSheetId="9">#REF!</definedName>
    <definedName name="RDRRATED9" localSheetId="8">#REF!</definedName>
    <definedName name="RDRRATED9">#REF!</definedName>
    <definedName name="RDRRATEG" localSheetId="5">#REF!</definedName>
    <definedName name="RDRRATEG" localSheetId="6">#REF!</definedName>
    <definedName name="RDRRATEG" localSheetId="7">#REF!</definedName>
    <definedName name="RDRRATEG" localSheetId="9">#REF!</definedName>
    <definedName name="RDRRATEG" localSheetId="8">#REF!</definedName>
    <definedName name="RDRRATEG">#REF!</definedName>
    <definedName name="RDRRATEG1" localSheetId="5">#REF!</definedName>
    <definedName name="RDRRATEG1" localSheetId="6">#REF!</definedName>
    <definedName name="RDRRATEG1" localSheetId="7">#REF!</definedName>
    <definedName name="RDRRATEG1" localSheetId="9">#REF!</definedName>
    <definedName name="RDRRATEG1" localSheetId="8">#REF!</definedName>
    <definedName name="RDRRATEG1">#REF!</definedName>
    <definedName name="RDRRATEG10" localSheetId="5">#REF!</definedName>
    <definedName name="RDRRATEG10" localSheetId="6">#REF!</definedName>
    <definedName name="RDRRATEG10" localSheetId="7">#REF!</definedName>
    <definedName name="RDRRATEG10" localSheetId="9">#REF!</definedName>
    <definedName name="RDRRATEG10" localSheetId="8">#REF!</definedName>
    <definedName name="RDRRATEG10">#REF!</definedName>
    <definedName name="RDRRATEG11" localSheetId="5">#REF!</definedName>
    <definedName name="RDRRATEG11" localSheetId="6">#REF!</definedName>
    <definedName name="RDRRATEG11" localSheetId="7">#REF!</definedName>
    <definedName name="RDRRATEG11" localSheetId="9">#REF!</definedName>
    <definedName name="RDRRATEG11" localSheetId="8">#REF!</definedName>
    <definedName name="RDRRATEG11">#REF!</definedName>
    <definedName name="RDRRATEG12" localSheetId="5">#REF!</definedName>
    <definedName name="RDRRATEG12" localSheetId="6">#REF!</definedName>
    <definedName name="RDRRATEG12" localSheetId="7">#REF!</definedName>
    <definedName name="RDRRATEG12" localSheetId="9">#REF!</definedName>
    <definedName name="RDRRATEG12" localSheetId="8">#REF!</definedName>
    <definedName name="RDRRATEG12">#REF!</definedName>
    <definedName name="RDRRATEG13" localSheetId="5">#REF!</definedName>
    <definedName name="RDRRATEG13" localSheetId="6">#REF!</definedName>
    <definedName name="RDRRATEG13" localSheetId="7">#REF!</definedName>
    <definedName name="RDRRATEG13" localSheetId="9">#REF!</definedName>
    <definedName name="RDRRATEG13" localSheetId="8">#REF!</definedName>
    <definedName name="RDRRATEG13">#REF!</definedName>
    <definedName name="RDRRATEG14" localSheetId="5">#REF!</definedName>
    <definedName name="RDRRATEG14" localSheetId="6">#REF!</definedName>
    <definedName name="RDRRATEG14" localSheetId="7">#REF!</definedName>
    <definedName name="RDRRATEG14" localSheetId="9">#REF!</definedName>
    <definedName name="RDRRATEG14" localSheetId="8">#REF!</definedName>
    <definedName name="RDRRATEG14">#REF!</definedName>
    <definedName name="RDRRATEG15" localSheetId="5">#REF!</definedName>
    <definedName name="RDRRATEG15" localSheetId="6">#REF!</definedName>
    <definedName name="RDRRATEG15" localSheetId="7">#REF!</definedName>
    <definedName name="RDRRATEG15" localSheetId="9">#REF!</definedName>
    <definedName name="RDRRATEG15" localSheetId="8">#REF!</definedName>
    <definedName name="RDRRATEG15">#REF!</definedName>
    <definedName name="RDRRATEG16" localSheetId="5">#REF!</definedName>
    <definedName name="RDRRATEG16" localSheetId="6">#REF!</definedName>
    <definedName name="RDRRATEG16" localSheetId="7">#REF!</definedName>
    <definedName name="RDRRATEG16" localSheetId="9">#REF!</definedName>
    <definedName name="RDRRATEG16" localSheetId="8">#REF!</definedName>
    <definedName name="RDRRATEG16">#REF!</definedName>
    <definedName name="RDRRATEG17" localSheetId="5">#REF!</definedName>
    <definedName name="RDRRATEG17" localSheetId="6">#REF!</definedName>
    <definedName name="RDRRATEG17" localSheetId="7">#REF!</definedName>
    <definedName name="RDRRATEG17" localSheetId="9">#REF!</definedName>
    <definedName name="RDRRATEG17" localSheetId="8">#REF!</definedName>
    <definedName name="RDRRATEG17">#REF!</definedName>
    <definedName name="RDRRATEG18" localSheetId="5">#REF!</definedName>
    <definedName name="RDRRATEG18" localSheetId="6">#REF!</definedName>
    <definedName name="RDRRATEG18" localSheetId="7">#REF!</definedName>
    <definedName name="RDRRATEG18" localSheetId="9">#REF!</definedName>
    <definedName name="RDRRATEG18" localSheetId="8">#REF!</definedName>
    <definedName name="RDRRATEG18">#REF!</definedName>
    <definedName name="RDRRATEG19" localSheetId="5">#REF!</definedName>
    <definedName name="RDRRATEG19" localSheetId="6">#REF!</definedName>
    <definedName name="RDRRATEG19" localSheetId="7">#REF!</definedName>
    <definedName name="RDRRATEG19" localSheetId="9">#REF!</definedName>
    <definedName name="RDRRATEG19" localSheetId="8">#REF!</definedName>
    <definedName name="RDRRATEG19">#REF!</definedName>
    <definedName name="RDRRATEG2" localSheetId="5">#REF!</definedName>
    <definedName name="RDRRATEG2" localSheetId="6">#REF!</definedName>
    <definedName name="RDRRATEG2" localSheetId="7">#REF!</definedName>
    <definedName name="RDRRATEG2" localSheetId="9">#REF!</definedName>
    <definedName name="RDRRATEG2" localSheetId="8">#REF!</definedName>
    <definedName name="RDRRATEG2">#REF!</definedName>
    <definedName name="RDRRATEG20" localSheetId="5">#REF!</definedName>
    <definedName name="RDRRATEG20" localSheetId="6">#REF!</definedName>
    <definedName name="RDRRATEG20" localSheetId="7">#REF!</definedName>
    <definedName name="RDRRATEG20" localSheetId="9">#REF!</definedName>
    <definedName name="RDRRATEG20" localSheetId="8">#REF!</definedName>
    <definedName name="RDRRATEG20">#REF!</definedName>
    <definedName name="RDRRATEG3" localSheetId="5">#REF!</definedName>
    <definedName name="RDRRATEG3" localSheetId="6">#REF!</definedName>
    <definedName name="RDRRATEG3" localSheetId="7">#REF!</definedName>
    <definedName name="RDRRATEG3" localSheetId="9">#REF!</definedName>
    <definedName name="RDRRATEG3" localSheetId="8">#REF!</definedName>
    <definedName name="RDRRATEG3">#REF!</definedName>
    <definedName name="RDRRATEG4" localSheetId="5">#REF!</definedName>
    <definedName name="RDRRATEG4" localSheetId="6">#REF!</definedName>
    <definedName name="RDRRATEG4" localSheetId="7">#REF!</definedName>
    <definedName name="RDRRATEG4" localSheetId="9">#REF!</definedName>
    <definedName name="RDRRATEG4" localSheetId="8">#REF!</definedName>
    <definedName name="RDRRATEG4">#REF!</definedName>
    <definedName name="RDRRATEG5" localSheetId="5">#REF!</definedName>
    <definedName name="RDRRATEG5" localSheetId="6">#REF!</definedName>
    <definedName name="RDRRATEG5" localSheetId="7">#REF!</definedName>
    <definedName name="RDRRATEG5" localSheetId="9">#REF!</definedName>
    <definedName name="RDRRATEG5" localSheetId="8">#REF!</definedName>
    <definedName name="RDRRATEG5">#REF!</definedName>
    <definedName name="RDRRATEG6" localSheetId="5">#REF!</definedName>
    <definedName name="RDRRATEG6" localSheetId="6">#REF!</definedName>
    <definedName name="RDRRATEG6" localSheetId="7">#REF!</definedName>
    <definedName name="RDRRATEG6" localSheetId="9">#REF!</definedName>
    <definedName name="RDRRATEG6" localSheetId="8">#REF!</definedName>
    <definedName name="RDRRATEG6">#REF!</definedName>
    <definedName name="RDRRATEG7" localSheetId="5">#REF!</definedName>
    <definedName name="RDRRATEG7" localSheetId="6">#REF!</definedName>
    <definedName name="RDRRATEG7" localSheetId="7">#REF!</definedName>
    <definedName name="RDRRATEG7" localSheetId="9">#REF!</definedName>
    <definedName name="RDRRATEG7" localSheetId="8">#REF!</definedName>
    <definedName name="RDRRATEG7">#REF!</definedName>
    <definedName name="RDRRATEG8" localSheetId="5">#REF!</definedName>
    <definedName name="RDRRATEG8" localSheetId="6">#REF!</definedName>
    <definedName name="RDRRATEG8" localSheetId="7">#REF!</definedName>
    <definedName name="RDRRATEG8" localSheetId="9">#REF!</definedName>
    <definedName name="RDRRATEG8" localSheetId="8">#REF!</definedName>
    <definedName name="RDRRATEG8">#REF!</definedName>
    <definedName name="RDRRATEG9" localSheetId="5">#REF!</definedName>
    <definedName name="RDRRATEG9" localSheetId="6">#REF!</definedName>
    <definedName name="RDRRATEG9" localSheetId="7">#REF!</definedName>
    <definedName name="RDRRATEG9" localSheetId="9">#REF!</definedName>
    <definedName name="RDRRATEG9" localSheetId="8">#REF!</definedName>
    <definedName name="RDRRATEG9">#REF!</definedName>
    <definedName name="RDRRATET" localSheetId="5">#REF!</definedName>
    <definedName name="RDRRATET" localSheetId="6">#REF!</definedName>
    <definedName name="RDRRATET" localSheetId="7">#REF!</definedName>
    <definedName name="RDRRATET" localSheetId="9">#REF!</definedName>
    <definedName name="RDRRATET" localSheetId="8">#REF!</definedName>
    <definedName name="RDRRATET">#REF!</definedName>
    <definedName name="RDRRATET1" localSheetId="5">#REF!</definedName>
    <definedName name="RDRRATET1" localSheetId="6">#REF!</definedName>
    <definedName name="RDRRATET1" localSheetId="7">#REF!</definedName>
    <definedName name="RDRRATET1" localSheetId="9">#REF!</definedName>
    <definedName name="RDRRATET1" localSheetId="8">#REF!</definedName>
    <definedName name="RDRRATET1">#REF!</definedName>
    <definedName name="RDRRATET10" localSheetId="5">#REF!</definedName>
    <definedName name="RDRRATET10" localSheetId="6">#REF!</definedName>
    <definedName name="RDRRATET10" localSheetId="7">#REF!</definedName>
    <definedName name="RDRRATET10" localSheetId="9">#REF!</definedName>
    <definedName name="RDRRATET10" localSheetId="8">#REF!</definedName>
    <definedName name="RDRRATET10">#REF!</definedName>
    <definedName name="RDRRATET11" localSheetId="5">#REF!</definedName>
    <definedName name="RDRRATET11" localSheetId="6">#REF!</definedName>
    <definedName name="RDRRATET11" localSheetId="7">#REF!</definedName>
    <definedName name="RDRRATET11" localSheetId="9">#REF!</definedName>
    <definedName name="RDRRATET11" localSheetId="8">#REF!</definedName>
    <definedName name="RDRRATET11">#REF!</definedName>
    <definedName name="RDRRATET12" localSheetId="5">#REF!</definedName>
    <definedName name="RDRRATET12" localSheetId="6">#REF!</definedName>
    <definedName name="RDRRATET12" localSheetId="7">#REF!</definedName>
    <definedName name="RDRRATET12" localSheetId="9">#REF!</definedName>
    <definedName name="RDRRATET12" localSheetId="8">#REF!</definedName>
    <definedName name="RDRRATET12">#REF!</definedName>
    <definedName name="RDRRATET13" localSheetId="5">#REF!</definedName>
    <definedName name="RDRRATET13" localSheetId="6">#REF!</definedName>
    <definedName name="RDRRATET13" localSheetId="7">#REF!</definedName>
    <definedName name="RDRRATET13" localSheetId="9">#REF!</definedName>
    <definedName name="RDRRATET13" localSheetId="8">#REF!</definedName>
    <definedName name="RDRRATET13">#REF!</definedName>
    <definedName name="RDRRATET14" localSheetId="5">#REF!</definedName>
    <definedName name="RDRRATET14" localSheetId="6">#REF!</definedName>
    <definedName name="RDRRATET14" localSheetId="7">#REF!</definedName>
    <definedName name="RDRRATET14" localSheetId="9">#REF!</definedName>
    <definedName name="RDRRATET14" localSheetId="8">#REF!</definedName>
    <definedName name="RDRRATET14">#REF!</definedName>
    <definedName name="RDRRATET15" localSheetId="5">#REF!</definedName>
    <definedName name="RDRRATET15" localSheetId="6">#REF!</definedName>
    <definedName name="RDRRATET15" localSheetId="7">#REF!</definedName>
    <definedName name="RDRRATET15" localSheetId="9">#REF!</definedName>
    <definedName name="RDRRATET15" localSheetId="8">#REF!</definedName>
    <definedName name="RDRRATET15">#REF!</definedName>
    <definedName name="RDRRATET16" localSheetId="5">#REF!</definedName>
    <definedName name="RDRRATET16" localSheetId="6">#REF!</definedName>
    <definedName name="RDRRATET16" localSheetId="7">#REF!</definedName>
    <definedName name="RDRRATET16" localSheetId="9">#REF!</definedName>
    <definedName name="RDRRATET16" localSheetId="8">#REF!</definedName>
    <definedName name="RDRRATET16">#REF!</definedName>
    <definedName name="RDRRATET17" localSheetId="5">#REF!</definedName>
    <definedName name="RDRRATET17" localSheetId="6">#REF!</definedName>
    <definedName name="RDRRATET17" localSheetId="7">#REF!</definedName>
    <definedName name="RDRRATET17" localSheetId="9">#REF!</definedName>
    <definedName name="RDRRATET17" localSheetId="8">#REF!</definedName>
    <definedName name="RDRRATET17">#REF!</definedName>
    <definedName name="RDRRATET18" localSheetId="5">#REF!</definedName>
    <definedName name="RDRRATET18" localSheetId="6">#REF!</definedName>
    <definedName name="RDRRATET18" localSheetId="7">#REF!</definedName>
    <definedName name="RDRRATET18" localSheetId="9">#REF!</definedName>
    <definedName name="RDRRATET18" localSheetId="8">#REF!</definedName>
    <definedName name="RDRRATET18">#REF!</definedName>
    <definedName name="RDRRATET19" localSheetId="5">#REF!</definedName>
    <definedName name="RDRRATET19" localSheetId="6">#REF!</definedName>
    <definedName name="RDRRATET19" localSheetId="7">#REF!</definedName>
    <definedName name="RDRRATET19" localSheetId="9">#REF!</definedName>
    <definedName name="RDRRATET19" localSheetId="8">#REF!</definedName>
    <definedName name="RDRRATET19">#REF!</definedName>
    <definedName name="RDRRATET2" localSheetId="5">#REF!</definedName>
    <definedName name="RDRRATET2" localSheetId="6">#REF!</definedName>
    <definedName name="RDRRATET2" localSheetId="7">#REF!</definedName>
    <definedName name="RDRRATET2" localSheetId="9">#REF!</definedName>
    <definedName name="RDRRATET2" localSheetId="8">#REF!</definedName>
    <definedName name="RDRRATET2">#REF!</definedName>
    <definedName name="RDRRATET20" localSheetId="5">#REF!</definedName>
    <definedName name="RDRRATET20" localSheetId="6">#REF!</definedName>
    <definedName name="RDRRATET20" localSheetId="7">#REF!</definedName>
    <definedName name="RDRRATET20" localSheetId="9">#REF!</definedName>
    <definedName name="RDRRATET20" localSheetId="8">#REF!</definedName>
    <definedName name="RDRRATET20">#REF!</definedName>
    <definedName name="RDRRATET3" localSheetId="5">#REF!</definedName>
    <definedName name="RDRRATET3" localSheetId="6">#REF!</definedName>
    <definedName name="RDRRATET3" localSheetId="7">#REF!</definedName>
    <definedName name="RDRRATET3" localSheetId="9">#REF!</definedName>
    <definedName name="RDRRATET3" localSheetId="8">#REF!</definedName>
    <definedName name="RDRRATET3">#REF!</definedName>
    <definedName name="RDRRATET4" localSheetId="5">#REF!</definedName>
    <definedName name="RDRRATET4" localSheetId="6">#REF!</definedName>
    <definedName name="RDRRATET4" localSheetId="7">#REF!</definedName>
    <definedName name="RDRRATET4" localSheetId="9">#REF!</definedName>
    <definedName name="RDRRATET4" localSheetId="8">#REF!</definedName>
    <definedName name="RDRRATET4">#REF!</definedName>
    <definedName name="RDRRATET5" localSheetId="5">#REF!</definedName>
    <definedName name="RDRRATET5" localSheetId="6">#REF!</definedName>
    <definedName name="RDRRATET5" localSheetId="7">#REF!</definedName>
    <definedName name="RDRRATET5" localSheetId="9">#REF!</definedName>
    <definedName name="RDRRATET5" localSheetId="8">#REF!</definedName>
    <definedName name="RDRRATET5">#REF!</definedName>
    <definedName name="RDRRATET6" localSheetId="5">#REF!</definedName>
    <definedName name="RDRRATET6" localSheetId="6">#REF!</definedName>
    <definedName name="RDRRATET6" localSheetId="7">#REF!</definedName>
    <definedName name="RDRRATET6" localSheetId="9">#REF!</definedName>
    <definedName name="RDRRATET6" localSheetId="8">#REF!</definedName>
    <definedName name="RDRRATET6">#REF!</definedName>
    <definedName name="RDRRATET7" localSheetId="5">#REF!</definedName>
    <definedName name="RDRRATET7" localSheetId="6">#REF!</definedName>
    <definedName name="RDRRATET7" localSheetId="7">#REF!</definedName>
    <definedName name="RDRRATET7" localSheetId="9">#REF!</definedName>
    <definedName name="RDRRATET7" localSheetId="8">#REF!</definedName>
    <definedName name="RDRRATET7">#REF!</definedName>
    <definedName name="RDRRATET8" localSheetId="5">#REF!</definedName>
    <definedName name="RDRRATET8" localSheetId="6">#REF!</definedName>
    <definedName name="RDRRATET8" localSheetId="7">#REF!</definedName>
    <definedName name="RDRRATET8" localSheetId="9">#REF!</definedName>
    <definedName name="RDRRATET8" localSheetId="8">#REF!</definedName>
    <definedName name="RDRRATET8">#REF!</definedName>
    <definedName name="RDRRATET9" localSheetId="5">#REF!</definedName>
    <definedName name="RDRRATET9" localSheetId="6">#REF!</definedName>
    <definedName name="RDRRATET9" localSheetId="7">#REF!</definedName>
    <definedName name="RDRRATET9" localSheetId="9">#REF!</definedName>
    <definedName name="RDRRATET9" localSheetId="8">#REF!</definedName>
    <definedName name="RDRRATET9">#REF!</definedName>
    <definedName name="RDRTYPE" localSheetId="5">#REF!</definedName>
    <definedName name="RDRTYPE" localSheetId="6">#REF!</definedName>
    <definedName name="RDRTYPE" localSheetId="7">#REF!</definedName>
    <definedName name="RDRTYPE" localSheetId="9">#REF!</definedName>
    <definedName name="RDRTYPE" localSheetId="8">#REF!</definedName>
    <definedName name="RDRTYPE">#REF!</definedName>
    <definedName name="RDRUNITS" localSheetId="5">#REF!</definedName>
    <definedName name="RDRUNITS" localSheetId="6">#REF!</definedName>
    <definedName name="RDRUNITS" localSheetId="7">#REF!</definedName>
    <definedName name="RDRUNITS" localSheetId="9">#REF!</definedName>
    <definedName name="RDRUNITS" localSheetId="8">#REF!</definedName>
    <definedName name="RDRUNITS">#REF!</definedName>
    <definedName name="_xlnm.Recorder" localSheetId="5">#REF!</definedName>
    <definedName name="_xlnm.Recorder" localSheetId="6">#REF!</definedName>
    <definedName name="_xlnm.Recorder" localSheetId="7">#REF!</definedName>
    <definedName name="_xlnm.Recorder" localSheetId="9">#REF!</definedName>
    <definedName name="_xlnm.Recorder" localSheetId="8">#REF!</definedName>
    <definedName name="_xlnm.Recorder">#REF!</definedName>
    <definedName name="Reserved_Section" localSheetId="5">#REF!</definedName>
    <definedName name="Reserved_Section" localSheetId="6">#REF!</definedName>
    <definedName name="Reserved_Section" localSheetId="7">#REF!</definedName>
    <definedName name="Reserved_Section" localSheetId="9">#REF!</definedName>
    <definedName name="Reserved_Section" localSheetId="8">#REF!</definedName>
    <definedName name="Reserved_Section">#REF!</definedName>
    <definedName name="revreq" localSheetId="2">#REF!</definedName>
    <definedName name="revreq" localSheetId="9">#REF!</definedName>
    <definedName name="revreq">#REF!</definedName>
    <definedName name="RIDERS" localSheetId="5">#REF!</definedName>
    <definedName name="RIDERS" localSheetId="6">#REF!</definedName>
    <definedName name="RIDERS" localSheetId="7">#REF!</definedName>
    <definedName name="RIDERS" localSheetId="9">#REF!</definedName>
    <definedName name="RIDERS" localSheetId="8">#REF!</definedName>
    <definedName name="RIDERS">#REF!</definedName>
    <definedName name="RKVAHRDNG" localSheetId="5">#REF!</definedName>
    <definedName name="RKVAHRDNG" localSheetId="6">#REF!</definedName>
    <definedName name="RKVAHRDNG" localSheetId="7">#REF!</definedName>
    <definedName name="RKVAHRDNG" localSheetId="9">#REF!</definedName>
    <definedName name="RKVAHRDNG" localSheetId="8">#REF!</definedName>
    <definedName name="RKVAHRDNG">#REF!</definedName>
    <definedName name="RTCHTCNTRCTCPCT" localSheetId="5">#REF!</definedName>
    <definedName name="RTCHTCNTRCTCPCT" localSheetId="6">#REF!</definedName>
    <definedName name="RTCHTCNTRCTCPCT" localSheetId="7">#REF!</definedName>
    <definedName name="RTCHTCNTRCTCPCT" localSheetId="9">#REF!</definedName>
    <definedName name="RTCHTCNTRCTCPCT" localSheetId="8">#REF!</definedName>
    <definedName name="RTCHTCNTRCTCPCT">#REF!</definedName>
    <definedName name="RTCHTFCTR" localSheetId="5">#REF!</definedName>
    <definedName name="RTCHTFCTR" localSheetId="6">#REF!</definedName>
    <definedName name="RTCHTFCTR" localSheetId="7">#REF!</definedName>
    <definedName name="RTCHTFCTR" localSheetId="9">#REF!</definedName>
    <definedName name="RTCHTFCTR" localSheetId="8">#REF!</definedName>
    <definedName name="RTCHTFCTR">#REF!</definedName>
    <definedName name="RTCHTFCTR2" localSheetId="5">#REF!</definedName>
    <definedName name="RTCHTFCTR2" localSheetId="6">#REF!</definedName>
    <definedName name="RTCHTFCTR2" localSheetId="7">#REF!</definedName>
    <definedName name="RTCHTFCTR2" localSheetId="9">#REF!</definedName>
    <definedName name="RTCHTFCTR2" localSheetId="8">#REF!</definedName>
    <definedName name="RTCHTFCTR2">#REF!</definedName>
    <definedName name="RTCHTHIPREVKW" localSheetId="5">#REF!</definedName>
    <definedName name="RTCHTHIPREVKW" localSheetId="6">#REF!</definedName>
    <definedName name="RTCHTHIPREVKW" localSheetId="7">#REF!</definedName>
    <definedName name="RTCHTHIPREVKW" localSheetId="9">#REF!</definedName>
    <definedName name="RTCHTHIPREVKW" localSheetId="8">#REF!</definedName>
    <definedName name="RTCHTHIPREVKW">#REF!</definedName>
    <definedName name="RTP_Detail" localSheetId="5">#REF!</definedName>
    <definedName name="RTP_Detail" localSheetId="6">#REF!</definedName>
    <definedName name="RTP_Detail" localSheetId="7">#REF!</definedName>
    <definedName name="RTP_Detail" localSheetId="9">#REF!</definedName>
    <definedName name="RTP_Detail" localSheetId="8">#REF!</definedName>
    <definedName name="RTP_Detail">#REF!</definedName>
    <definedName name="RTPLRKW" localSheetId="5">#REF!</definedName>
    <definedName name="RTPLRKW" localSheetId="6">#REF!</definedName>
    <definedName name="RTPLRKW" localSheetId="7">#REF!</definedName>
    <definedName name="RTPLRKW" localSheetId="9">#REF!</definedName>
    <definedName name="RTPLRKW" localSheetId="8">#REF!</definedName>
    <definedName name="RTPLRKW">#REF!</definedName>
    <definedName name="SDI" localSheetId="5">#REF!</definedName>
    <definedName name="SDI" localSheetId="6">#REF!</definedName>
    <definedName name="SDI" localSheetId="7">#REF!</definedName>
    <definedName name="SDI" localSheetId="9">#REF!</definedName>
    <definedName name="SDI" localSheetId="8">#REF!</definedName>
    <definedName name="SDI">#REF!</definedName>
    <definedName name="SEVILLE" localSheetId="2">#REF!</definedName>
    <definedName name="SEVILLE" localSheetId="9">#REF!</definedName>
    <definedName name="SEVILLE">#REF!</definedName>
    <definedName name="SHLDRPKKW" localSheetId="5">#REF!</definedName>
    <definedName name="SHLDRPKKW" localSheetId="6">#REF!</definedName>
    <definedName name="SHLDRPKKW" localSheetId="7">#REF!</definedName>
    <definedName name="SHLDRPKKW" localSheetId="9">#REF!</definedName>
    <definedName name="SHLDRPKKW" localSheetId="8">#REF!</definedName>
    <definedName name="SHLDRPKKW">#REF!</definedName>
    <definedName name="SHLDRPKKWDT" localSheetId="5">#REF!</definedName>
    <definedName name="SHLDRPKKWDT" localSheetId="6">#REF!</definedName>
    <definedName name="SHLDRPKKWDT" localSheetId="7">#REF!</definedName>
    <definedName name="SHLDRPKKWDT" localSheetId="9">#REF!</definedName>
    <definedName name="SHLDRPKKWDT" localSheetId="8">#REF!</definedName>
    <definedName name="SHLDRPKKWDT">#REF!</definedName>
    <definedName name="SHLDRPKKWTM" localSheetId="5">#REF!</definedName>
    <definedName name="SHLDRPKKWTM" localSheetId="6">#REF!</definedName>
    <definedName name="SHLDRPKKWTM" localSheetId="7">#REF!</definedName>
    <definedName name="SHLDRPKKWTM" localSheetId="9">#REF!</definedName>
    <definedName name="SHLDRPKKWTM" localSheetId="8">#REF!</definedName>
    <definedName name="SHLDRPKKWTM">#REF!</definedName>
    <definedName name="SHRDTRNSKWH" localSheetId="5">#REF!</definedName>
    <definedName name="SHRDTRNSKWH" localSheetId="6">#REF!</definedName>
    <definedName name="SHRDTRNSKWH" localSheetId="7">#REF!</definedName>
    <definedName name="SHRDTRNSKWH" localSheetId="9">#REF!</definedName>
    <definedName name="SHRDTRNSKWH" localSheetId="8">#REF!</definedName>
    <definedName name="SHRDTRNSKWH">#REF!</definedName>
    <definedName name="SOUTH_VIENNA" localSheetId="2">#REF!</definedName>
    <definedName name="SOUTH_VIENNA" localSheetId="9">#REF!</definedName>
    <definedName name="SOUTH_VIENNA">#REF!</definedName>
    <definedName name="SRPLSKWH" localSheetId="5">#REF!</definedName>
    <definedName name="SRPLSKWH" localSheetId="6">#REF!</definedName>
    <definedName name="SRPLSKWH" localSheetId="7">#REF!</definedName>
    <definedName name="SRPLSKWH" localSheetId="9">#REF!</definedName>
    <definedName name="SRPLSKWH" localSheetId="8">#REF!</definedName>
    <definedName name="SRPLSKWH">#REF!</definedName>
    <definedName name="ss1et">#REF!</definedName>
    <definedName name="ss1gb">#REF!</definedName>
    <definedName name="ss1lh">#REF!</definedName>
    <definedName name="ss1nt">#REF!</definedName>
    <definedName name="ss1op">#REF!</definedName>
    <definedName name="ss1tx">#REF!</definedName>
    <definedName name="ss1wf">#REF!</definedName>
    <definedName name="ss2et">#REF!</definedName>
    <definedName name="ss2etc">#REF!</definedName>
    <definedName name="ss2gb">#REF!</definedName>
    <definedName name="ss2gbt">#REF!</definedName>
    <definedName name="ss2lh">#REF!</definedName>
    <definedName name="ss2lhs">#REF!</definedName>
    <definedName name="ss2nt">#REF!</definedName>
    <definedName name="ss2ntc">#REF!</definedName>
    <definedName name="ss2op">#REF!</definedName>
    <definedName name="ss2opm">#REF!</definedName>
    <definedName name="ss2tx">#REF!</definedName>
    <definedName name="ss2txl">#REF!</definedName>
    <definedName name="ss2wf">#REF!</definedName>
    <definedName name="ss3et">#REF!</definedName>
    <definedName name="ss3gb">#REF!</definedName>
    <definedName name="ss3lh">#REF!</definedName>
    <definedName name="ss3nt">#REF!</definedName>
    <definedName name="ss3op">#REF!</definedName>
    <definedName name="ss3tx">#REF!</definedName>
    <definedName name="ss3wf">#REF!</definedName>
    <definedName name="ss5et">#REF!</definedName>
    <definedName name="ss5gb">#REF!</definedName>
    <definedName name="ss5lh">#REF!</definedName>
    <definedName name="ss5nt">#REF!</definedName>
    <definedName name="ss5op">#REF!</definedName>
    <definedName name="ss5tx">#REF!</definedName>
    <definedName name="ss5wf">#REF!</definedName>
    <definedName name="ss6et">#REF!</definedName>
    <definedName name="ss6gb">#REF!</definedName>
    <definedName name="ss6lh">#REF!</definedName>
    <definedName name="ss6nt">#REF!</definedName>
    <definedName name="ss6op">#REF!</definedName>
    <definedName name="ss6tx">#REF!</definedName>
    <definedName name="ss6wf">#REF!</definedName>
    <definedName name="STARTDTM" localSheetId="5">#REF!</definedName>
    <definedName name="STARTDTM" localSheetId="6">#REF!</definedName>
    <definedName name="STARTDTM" localSheetId="7">#REF!</definedName>
    <definedName name="STARTDTM" localSheetId="9">#REF!</definedName>
    <definedName name="STARTDTM" localSheetId="8">#REF!</definedName>
    <definedName name="STARTDTM">#REF!</definedName>
    <definedName name="State" localSheetId="5">#REF!</definedName>
    <definedName name="State" localSheetId="6">#REF!</definedName>
    <definedName name="State" localSheetId="7">#REF!</definedName>
    <definedName name="State" localSheetId="9">#REF!</definedName>
    <definedName name="State" localSheetId="8">#REF!</definedName>
    <definedName name="State">#REF!</definedName>
    <definedName name="STDKW" localSheetId="5">#REF!</definedName>
    <definedName name="STDKW" localSheetId="6">#REF!</definedName>
    <definedName name="STDKW" localSheetId="7">#REF!</definedName>
    <definedName name="STDKW" localSheetId="9">#REF!</definedName>
    <definedName name="STDKW" localSheetId="8">#REF!</definedName>
    <definedName name="STDKW">#REF!</definedName>
    <definedName name="STDKWDT" localSheetId="5">#REF!</definedName>
    <definedName name="STDKWDT" localSheetId="6">#REF!</definedName>
    <definedName name="STDKWDT" localSheetId="7">#REF!</definedName>
    <definedName name="STDKWDT" localSheetId="9">#REF!</definedName>
    <definedName name="STDKWDT" localSheetId="8">#REF!</definedName>
    <definedName name="STDKWDT">#REF!</definedName>
    <definedName name="STDKWTM" localSheetId="5">#REF!</definedName>
    <definedName name="STDKWTM" localSheetId="6">#REF!</definedName>
    <definedName name="STDKWTM" localSheetId="7">#REF!</definedName>
    <definedName name="STDKWTM" localSheetId="9">#REF!</definedName>
    <definedName name="STDKWTM" localSheetId="8">#REF!</definedName>
    <definedName name="STDKWTM">#REF!</definedName>
    <definedName name="STRTTIME" localSheetId="5">#REF!</definedName>
    <definedName name="STRTTIME" localSheetId="6">#REF!</definedName>
    <definedName name="STRTTIME" localSheetId="7">#REF!</definedName>
    <definedName name="STRTTIME" localSheetId="9">#REF!</definedName>
    <definedName name="STRTTIME" localSheetId="8">#REF!</definedName>
    <definedName name="STRTTIME">#REF!</definedName>
    <definedName name="SWP_Hist_Allocators" localSheetId="5">'[3]SWT Historic TCOS'!$I$368:$J$376</definedName>
    <definedName name="SWP_Hist_Allocators" localSheetId="6">'[4]SWT Historic TCOS'!$I$368:$J$376</definedName>
    <definedName name="SWP_Hist_Allocators" localSheetId="7">'[5]SWT Historic TCOS'!$I$368:$J$376</definedName>
    <definedName name="SWP_Hist_Allocators" localSheetId="9">'[6]SWT Historic TCOS'!$I$368:$J$376</definedName>
    <definedName name="SWP_Hist_Allocators" localSheetId="8">'[6]SWT Historic TCOS'!$I$368:$J$376</definedName>
    <definedName name="SWP_Hist_Allocators">'[2]SWT Historic TCOS'!$I$368:$J$376</definedName>
    <definedName name="SWP_Proj_Allocators" localSheetId="5">'[3]SWT Projected TCOS'!$I$368:$J$376</definedName>
    <definedName name="SWP_Proj_Allocators" localSheetId="6">'[4]SWT Projected TCOS'!$I$368:$J$376</definedName>
    <definedName name="SWP_Proj_Allocators" localSheetId="7">'[5]SWT Projected TCOS'!$I$368:$J$376</definedName>
    <definedName name="SWP_Proj_Allocators" localSheetId="9">'[6]SWT Projected TCOS'!$I$368:$J$376</definedName>
    <definedName name="SWP_Proj_Allocators" localSheetId="8">'[6]SWT Projected TCOS'!$I$368:$J$376</definedName>
    <definedName name="SWP_Proj_Allocators">'[2]SWT Projected TCOS'!$I$368:$J$376</definedName>
    <definedName name="SWP_TU_Allocators" localSheetId="5">'[3]SWT True-UP TCOS'!$I$341:$J$348</definedName>
    <definedName name="SWP_TU_Allocators" localSheetId="6">'[4]SWT True-UP TCOS'!$I$341:$J$348</definedName>
    <definedName name="SWP_TU_Allocators" localSheetId="7">'[5]SWT True-UP TCOS'!$I$341:$J$348</definedName>
    <definedName name="SWP_TU_Allocators" localSheetId="9">'[6]SWT True-UP TCOS'!$I$341:$J$348</definedName>
    <definedName name="SWP_TU_Allocators" localSheetId="8">'[6]SWT True-UP TCOS'!$I$341:$J$348</definedName>
    <definedName name="SWP_TU_Allocators">'[2]SWT True-UP TCOS'!$I$341:$J$348</definedName>
    <definedName name="SWPallocatorsH" localSheetId="5">#REF!</definedName>
    <definedName name="SWPallocatorsH" localSheetId="6">#REF!</definedName>
    <definedName name="SWPallocatorsH" localSheetId="7">#REF!</definedName>
    <definedName name="SWPallocatorsH" localSheetId="9">#REF!</definedName>
    <definedName name="SWPallocatorsH" localSheetId="8">#REF!</definedName>
    <definedName name="SWPallocatorsH">#REF!</definedName>
    <definedName name="SWPallocatorsP" localSheetId="5">#REF!</definedName>
    <definedName name="SWPallocatorsP" localSheetId="6">#REF!</definedName>
    <definedName name="SWPallocatorsP" localSheetId="7">#REF!</definedName>
    <definedName name="SWPallocatorsP" localSheetId="9">#REF!</definedName>
    <definedName name="SWPallocatorsP" localSheetId="8">#REF!</definedName>
    <definedName name="SWPallocatorsP">#REF!</definedName>
    <definedName name="SYSPKKW" localSheetId="5">#REF!</definedName>
    <definedName name="SYSPKKW" localSheetId="6">#REF!</definedName>
    <definedName name="SYSPKKW" localSheetId="7">#REF!</definedName>
    <definedName name="SYSPKKW" localSheetId="9">#REF!</definedName>
    <definedName name="SYSPKKW" localSheetId="8">#REF!</definedName>
    <definedName name="SYSPKKW">#REF!</definedName>
    <definedName name="SYSPKKWDT" localSheetId="5">#REF!</definedName>
    <definedName name="SYSPKKWDT" localSheetId="6">#REF!</definedName>
    <definedName name="SYSPKKWDT" localSheetId="7">#REF!</definedName>
    <definedName name="SYSPKKWDT" localSheetId="9">#REF!</definedName>
    <definedName name="SYSPKKWDT" localSheetId="8">#REF!</definedName>
    <definedName name="SYSPKKWDT">#REF!</definedName>
    <definedName name="SYSPKKWTM" localSheetId="5">#REF!</definedName>
    <definedName name="SYSPKKWTM" localSheetId="6">#REF!</definedName>
    <definedName name="SYSPKKWTM" localSheetId="7">#REF!</definedName>
    <definedName name="SYSPKKWTM" localSheetId="9">#REF!</definedName>
    <definedName name="SYSPKKWTM" localSheetId="8">#REF!</definedName>
    <definedName name="SYSPKKWTM">#REF!</definedName>
    <definedName name="TARIFF1" localSheetId="5">#REF!</definedName>
    <definedName name="TARIFF1" localSheetId="6">#REF!</definedName>
    <definedName name="TARIFF1" localSheetId="7">#REF!</definedName>
    <definedName name="TARIFF1" localSheetId="9">#REF!</definedName>
    <definedName name="TARIFF1" localSheetId="8">#REF!</definedName>
    <definedName name="TARIFF1">#REF!</definedName>
    <definedName name="TARIFF2" localSheetId="5">#REF!</definedName>
    <definedName name="TARIFF2" localSheetId="6">#REF!</definedName>
    <definedName name="TARIFF2" localSheetId="7">#REF!</definedName>
    <definedName name="TARIFF2" localSheetId="9">#REF!</definedName>
    <definedName name="TARIFF2" localSheetId="8">#REF!</definedName>
    <definedName name="TARIFF2">#REF!</definedName>
    <definedName name="TariffCode" localSheetId="5">#REF!</definedName>
    <definedName name="TariffCode" localSheetId="6">#REF!</definedName>
    <definedName name="TariffCode" localSheetId="7">#REF!</definedName>
    <definedName name="TariffCode" localSheetId="9">#REF!</definedName>
    <definedName name="TariffCode" localSheetId="8">#REF!</definedName>
    <definedName name="TariffCode">#REF!</definedName>
    <definedName name="TariffLongName" localSheetId="5">#REF!</definedName>
    <definedName name="TariffLongName" localSheetId="6">#REF!</definedName>
    <definedName name="TariffLongName" localSheetId="7">#REF!</definedName>
    <definedName name="TariffLongName" localSheetId="9">#REF!</definedName>
    <definedName name="TariffLongName" localSheetId="8">#REF!</definedName>
    <definedName name="TariffLongName">#REF!</definedName>
    <definedName name="TariffShortName" localSheetId="5">#REF!</definedName>
    <definedName name="TariffShortName" localSheetId="6">#REF!</definedName>
    <definedName name="TariffShortName" localSheetId="7">#REF!</definedName>
    <definedName name="TariffShortName" localSheetId="9">#REF!</definedName>
    <definedName name="TariffShortName" localSheetId="8">#REF!</definedName>
    <definedName name="TariffShortName">#REF!</definedName>
    <definedName name="TAXDATE" localSheetId="5">#REF!</definedName>
    <definedName name="TAXDATE" localSheetId="6">#REF!</definedName>
    <definedName name="TAXDATE" localSheetId="7">#REF!</definedName>
    <definedName name="TAXDATE" localSheetId="9">#REF!</definedName>
    <definedName name="TAXDATE" localSheetId="8">#REF!</definedName>
    <definedName name="TAXDATE">#REF!</definedName>
    <definedName name="TAXES" localSheetId="5">#REF!</definedName>
    <definedName name="TAXES" localSheetId="6">#REF!</definedName>
    <definedName name="TAXES" localSheetId="7">#REF!</definedName>
    <definedName name="TAXES" localSheetId="9">#REF!</definedName>
    <definedName name="TAXES" localSheetId="8">#REF!</definedName>
    <definedName name="TAXES">#REF!</definedName>
    <definedName name="TAXNAME" localSheetId="5">#REF!</definedName>
    <definedName name="TAXNAME" localSheetId="6">#REF!</definedName>
    <definedName name="TAXNAME" localSheetId="7">#REF!</definedName>
    <definedName name="TAXNAME" localSheetId="9">#REF!</definedName>
    <definedName name="TAXNAME" localSheetId="8">#REF!</definedName>
    <definedName name="TAXNAME">#REF!</definedName>
    <definedName name="TAXRATE" localSheetId="5">#REF!</definedName>
    <definedName name="TAXRATE" localSheetId="6">#REF!</definedName>
    <definedName name="TAXRATE" localSheetId="7">#REF!</definedName>
    <definedName name="TAXRATE" localSheetId="9">#REF!</definedName>
    <definedName name="TAXRATE" localSheetId="8">#REF!</definedName>
    <definedName name="TAXRATE">#REF!</definedName>
    <definedName name="TAXTYPE" localSheetId="5">#REF!</definedName>
    <definedName name="TAXTYPE" localSheetId="6">#REF!</definedName>
    <definedName name="TAXTYPE" localSheetId="7">#REF!</definedName>
    <definedName name="TAXTYPE" localSheetId="9">#REF!</definedName>
    <definedName name="TAXTYPE" localSheetId="8">#REF!</definedName>
    <definedName name="TAXTYPE">#REF!</definedName>
    <definedName name="tbl_QtrPrimRat" localSheetId="0">#REF!</definedName>
    <definedName name="tbl_QtrPrimRat">'Prime Rate'!$E$371:$F$1165</definedName>
    <definedName name="TCst" localSheetId="5">#REF!</definedName>
    <definedName name="TCst" localSheetId="6">#REF!</definedName>
    <definedName name="TCst" localSheetId="7">#REF!</definedName>
    <definedName name="TCst" localSheetId="9">#REF!</definedName>
    <definedName name="TCst" localSheetId="8">#REF!</definedName>
    <definedName name="TCst">#REF!</definedName>
    <definedName name="TCst1" localSheetId="5">#REF!</definedName>
    <definedName name="TCst1" localSheetId="6">#REF!</definedName>
    <definedName name="TCst1" localSheetId="7">#REF!</definedName>
    <definedName name="TCst1" localSheetId="9">#REF!</definedName>
    <definedName name="TCst1" localSheetId="8">#REF!</definedName>
    <definedName name="TCst1">#REF!</definedName>
    <definedName name="texla">#REF!</definedName>
    <definedName name="TIRPCCHG" localSheetId="5">#REF!</definedName>
    <definedName name="TIRPCCHG" localSheetId="6">#REF!</definedName>
    <definedName name="TIRPCCHG" localSheetId="7">#REF!</definedName>
    <definedName name="TIRPCCHG" localSheetId="9">#REF!</definedName>
    <definedName name="TIRPCCHG" localSheetId="8">#REF!</definedName>
    <definedName name="TIRPCCHG">#REF!</definedName>
    <definedName name="TIRPDCHG1" localSheetId="5">#REF!</definedName>
    <definedName name="TIRPDCHG1" localSheetId="6">#REF!</definedName>
    <definedName name="TIRPDCHG1" localSheetId="7">#REF!</definedName>
    <definedName name="TIRPDCHG1" localSheetId="9">#REF!</definedName>
    <definedName name="TIRPDCHG1" localSheetId="8">#REF!</definedName>
    <definedName name="TIRPDCHG1">#REF!</definedName>
    <definedName name="TIRPDCHG2" localSheetId="5">#REF!</definedName>
    <definedName name="TIRPDCHG2" localSheetId="6">#REF!</definedName>
    <definedName name="TIRPDCHG2" localSheetId="7">#REF!</definedName>
    <definedName name="TIRPDCHG2" localSheetId="9">#REF!</definedName>
    <definedName name="TIRPDCHG2" localSheetId="8">#REF!</definedName>
    <definedName name="TIRPDCHG2">#REF!</definedName>
    <definedName name="TIRPECHG1" localSheetId="5">#REF!</definedName>
    <definedName name="TIRPECHG1" localSheetId="6">#REF!</definedName>
    <definedName name="TIRPECHG1" localSheetId="7">#REF!</definedName>
    <definedName name="TIRPECHG1" localSheetId="9">#REF!</definedName>
    <definedName name="TIRPECHG1" localSheetId="8">#REF!</definedName>
    <definedName name="TIRPECHG1">#REF!</definedName>
    <definedName name="TIRPECHGB1" localSheetId="5">#REF!</definedName>
    <definedName name="TIRPECHGB1" localSheetId="6">#REF!</definedName>
    <definedName name="TIRPECHGB1" localSheetId="7">#REF!</definedName>
    <definedName name="TIRPECHGB1" localSheetId="9">#REF!</definedName>
    <definedName name="TIRPECHGB1" localSheetId="8">#REF!</definedName>
    <definedName name="TIRPECHGB1">#REF!</definedName>
    <definedName name="TIRPECHGB2" localSheetId="5">#REF!</definedName>
    <definedName name="TIRPECHGB2" localSheetId="6">#REF!</definedName>
    <definedName name="TIRPECHGB2" localSheetId="7">#REF!</definedName>
    <definedName name="TIRPECHGB2" localSheetId="9">#REF!</definedName>
    <definedName name="TIRPECHGB2" localSheetId="8">#REF!</definedName>
    <definedName name="TIRPECHGB2">#REF!</definedName>
    <definedName name="TIRPECHGB3" localSheetId="5">#REF!</definedName>
    <definedName name="TIRPECHGB3" localSheetId="6">#REF!</definedName>
    <definedName name="TIRPECHGB3" localSheetId="7">#REF!</definedName>
    <definedName name="TIRPECHGB3" localSheetId="9">#REF!</definedName>
    <definedName name="TIRPECHGB3" localSheetId="8">#REF!</definedName>
    <definedName name="TIRPECHGB3">#REF!</definedName>
    <definedName name="TIRPMECHG1" localSheetId="5">#REF!</definedName>
    <definedName name="TIRPMECHG1" localSheetId="6">#REF!</definedName>
    <definedName name="TIRPMECHG1" localSheetId="7">#REF!</definedName>
    <definedName name="TIRPMECHG1" localSheetId="9">#REF!</definedName>
    <definedName name="TIRPMECHG1" localSheetId="8">#REF!</definedName>
    <definedName name="TIRPMECHG1">#REF!</definedName>
    <definedName name="TIRPMINDC" localSheetId="5">#REF!</definedName>
    <definedName name="TIRPMINDC" localSheetId="6">#REF!</definedName>
    <definedName name="TIRPMINDC" localSheetId="7">#REF!</definedName>
    <definedName name="TIRPMINDC" localSheetId="9">#REF!</definedName>
    <definedName name="TIRPMINDC" localSheetId="8">#REF!</definedName>
    <definedName name="TIRPMINDC">#REF!</definedName>
    <definedName name="TIRPMINEC" localSheetId="5">#REF!</definedName>
    <definedName name="TIRPMINEC" localSheetId="6">#REF!</definedName>
    <definedName name="TIRPMINEC" localSheetId="7">#REF!</definedName>
    <definedName name="TIRPMINEC" localSheetId="9">#REF!</definedName>
    <definedName name="TIRPMINEC" localSheetId="8">#REF!</definedName>
    <definedName name="TIRPMINEC">#REF!</definedName>
    <definedName name="TIRPOFKVA" localSheetId="5">#REF!</definedName>
    <definedName name="TIRPOFKVA" localSheetId="6">#REF!</definedName>
    <definedName name="TIRPOFKVA" localSheetId="7">#REF!</definedName>
    <definedName name="TIRPOFKVA" localSheetId="9">#REF!</definedName>
    <definedName name="TIRPOFKVA" localSheetId="8">#REF!</definedName>
    <definedName name="TIRPOFKVA">#REF!</definedName>
    <definedName name="TIRPOFKW" localSheetId="5">#REF!</definedName>
    <definedName name="TIRPOFKW" localSheetId="6">#REF!</definedName>
    <definedName name="TIRPOFKW" localSheetId="7">#REF!</definedName>
    <definedName name="TIRPOFKW" localSheetId="9">#REF!</definedName>
    <definedName name="TIRPOFKW" localSheetId="8">#REF!</definedName>
    <definedName name="TIRPOFKW">#REF!</definedName>
    <definedName name="TIRPOFKWH" localSheetId="5">#REF!</definedName>
    <definedName name="TIRPOFKWH" localSheetId="6">#REF!</definedName>
    <definedName name="TIRPOFKWH" localSheetId="7">#REF!</definedName>
    <definedName name="TIRPOFKWH" localSheetId="9">#REF!</definedName>
    <definedName name="TIRPOFKWH" localSheetId="8">#REF!</definedName>
    <definedName name="TIRPOFKWH">#REF!</definedName>
    <definedName name="TIRPOPKWH" localSheetId="5">#REF!</definedName>
    <definedName name="TIRPOPKWH" localSheetId="6">#REF!</definedName>
    <definedName name="TIRPOPKWH" localSheetId="7">#REF!</definedName>
    <definedName name="TIRPOPKWH" localSheetId="9">#REF!</definedName>
    <definedName name="TIRPOPKWH" localSheetId="8">#REF!</definedName>
    <definedName name="TIRPOPKWH">#REF!</definedName>
    <definedName name="TIRPP1EC" localSheetId="5">#REF!</definedName>
    <definedName name="TIRPP1EC" localSheetId="6">#REF!</definedName>
    <definedName name="TIRPP1EC" localSheetId="7">#REF!</definedName>
    <definedName name="TIRPP1EC" localSheetId="9">#REF!</definedName>
    <definedName name="TIRPP1EC" localSheetId="8">#REF!</definedName>
    <definedName name="TIRPP1EC">#REF!</definedName>
    <definedName name="TIRPP2EC" localSheetId="5">#REF!</definedName>
    <definedName name="TIRPP2EC" localSheetId="6">#REF!</definedName>
    <definedName name="TIRPP2EC" localSheetId="7">#REF!</definedName>
    <definedName name="TIRPP2EC" localSheetId="9">#REF!</definedName>
    <definedName name="TIRPP2EC" localSheetId="8">#REF!</definedName>
    <definedName name="TIRPP2EC">#REF!</definedName>
    <definedName name="TIRPP3EC" localSheetId="5">#REF!</definedName>
    <definedName name="TIRPP3EC" localSheetId="6">#REF!</definedName>
    <definedName name="TIRPP3EC" localSheetId="7">#REF!</definedName>
    <definedName name="TIRPP3EC" localSheetId="9">#REF!</definedName>
    <definedName name="TIRPP3EC" localSheetId="8">#REF!</definedName>
    <definedName name="TIRPP3EC">#REF!</definedName>
    <definedName name="TIRPP4EC" localSheetId="5">#REF!</definedName>
    <definedName name="TIRPP4EC" localSheetId="6">#REF!</definedName>
    <definedName name="TIRPP4EC" localSheetId="7">#REF!</definedName>
    <definedName name="TIRPP4EC" localSheetId="9">#REF!</definedName>
    <definedName name="TIRPP4EC" localSheetId="8">#REF!</definedName>
    <definedName name="TIRPP4EC">#REF!</definedName>
    <definedName name="TIRPP5EC" localSheetId="5">#REF!</definedName>
    <definedName name="TIRPP5EC" localSheetId="6">#REF!</definedName>
    <definedName name="TIRPP5EC" localSheetId="7">#REF!</definedName>
    <definedName name="TIRPP5EC" localSheetId="9">#REF!</definedName>
    <definedName name="TIRPP5EC" localSheetId="8">#REF!</definedName>
    <definedName name="TIRPP5EC">#REF!</definedName>
    <definedName name="TIRPRCHG" localSheetId="5">#REF!</definedName>
    <definedName name="TIRPRCHG" localSheetId="6">#REF!</definedName>
    <definedName name="TIRPRCHG" localSheetId="7">#REF!</definedName>
    <definedName name="TIRPRCHG" localSheetId="9">#REF!</definedName>
    <definedName name="TIRPRCHG" localSheetId="8">#REF!</definedName>
    <definedName name="TIRPRCHG">#REF!</definedName>
    <definedName name="TLsFctr" localSheetId="5">#REF!</definedName>
    <definedName name="TLsFctr" localSheetId="6">#REF!</definedName>
    <definedName name="TLsFctr" localSheetId="7">#REF!</definedName>
    <definedName name="TLsFctr" localSheetId="9">#REF!</definedName>
    <definedName name="TLsFctr" localSheetId="8">#REF!</definedName>
    <definedName name="TLsFctr">#REF!</definedName>
    <definedName name="TOTAL_COLUMBIANA" localSheetId="2">#REF!</definedName>
    <definedName name="TOTAL_COLUMBIANA" localSheetId="9">#REF!</definedName>
    <definedName name="TOTAL_COLUMBIANA">#REF!</definedName>
    <definedName name="Total_Grove_City" localSheetId="2">#REF!</definedName>
    <definedName name="Total_Grove_City" localSheetId="9">#REF!</definedName>
    <definedName name="Total_Grove_City">#REF!</definedName>
    <definedName name="TOTAL_HUDSON" localSheetId="2">#REF!</definedName>
    <definedName name="TOTAL_HUDSON" localSheetId="9">#REF!</definedName>
    <definedName name="TOTAL_HUDSON">#REF!</definedName>
    <definedName name="TOTAL_MONTPELIER" localSheetId="2">#REF!</definedName>
    <definedName name="TOTAL_MONTPELIER" localSheetId="9">#REF!</definedName>
    <definedName name="TOTAL_MONTPELIER">#REF!</definedName>
    <definedName name="TOTAL_WOODVILLE" localSheetId="2">#REF!</definedName>
    <definedName name="TOTAL_WOODVILLE" localSheetId="9">#REF!</definedName>
    <definedName name="TOTAL_WOODVILLE">#REF!</definedName>
    <definedName name="TRCRDKWH" localSheetId="5">#REF!</definedName>
    <definedName name="TRCRDKWH" localSheetId="6">#REF!</definedName>
    <definedName name="TRCRDKWH" localSheetId="7">#REF!</definedName>
    <definedName name="TRCRDKWH" localSheetId="9">#REF!</definedName>
    <definedName name="TRCRDKWH" localSheetId="8">#REF!</definedName>
    <definedName name="TRCRDKWH">#REF!</definedName>
    <definedName name="TRCRDKWH2P" localSheetId="5">#REF!</definedName>
    <definedName name="TRCRDKWH2P" localSheetId="6">#REF!</definedName>
    <definedName name="TRCRDKWH2P" localSheetId="7">#REF!</definedName>
    <definedName name="TRCRDKWH2P" localSheetId="9">#REF!</definedName>
    <definedName name="TRCRDKWH2P" localSheetId="8">#REF!</definedName>
    <definedName name="TRCRDKWH2P">#REF!</definedName>
    <definedName name="TRFDATE1" localSheetId="5">#REF!</definedName>
    <definedName name="TRFDATE1" localSheetId="6">#REF!</definedName>
    <definedName name="TRFDATE1" localSheetId="7">#REF!</definedName>
    <definedName name="TRFDATE1" localSheetId="9">#REF!</definedName>
    <definedName name="TRFDATE1" localSheetId="8">#REF!</definedName>
    <definedName name="TRFDATE1">#REF!</definedName>
    <definedName name="TRFDATE2" localSheetId="5">#REF!</definedName>
    <definedName name="TRFDATE2" localSheetId="6">#REF!</definedName>
    <definedName name="TRFDATE2" localSheetId="7">#REF!</definedName>
    <definedName name="TRFDATE2" localSheetId="9">#REF!</definedName>
    <definedName name="TRFDATE2" localSheetId="8">#REF!</definedName>
    <definedName name="TRFDATE2">#REF!</definedName>
    <definedName name="TRFNAME1" localSheetId="5">#REF!</definedName>
    <definedName name="TRFNAME1" localSheetId="6">#REF!</definedName>
    <definedName name="TRFNAME1" localSheetId="7">#REF!</definedName>
    <definedName name="TRFNAME1" localSheetId="9">#REF!</definedName>
    <definedName name="TRFNAME1" localSheetId="8">#REF!</definedName>
    <definedName name="TRFNAME1">#REF!</definedName>
    <definedName name="TRFNAME2" localSheetId="5">#REF!</definedName>
    <definedName name="TRFNAME2" localSheetId="6">#REF!</definedName>
    <definedName name="TRFNAME2" localSheetId="7">#REF!</definedName>
    <definedName name="TRFNAME2" localSheetId="9">#REF!</definedName>
    <definedName name="TRFNAME2" localSheetId="8">#REF!</definedName>
    <definedName name="TRFNAME2">#REF!</definedName>
    <definedName name="TRFSHORTNM1" localSheetId="5">#REF!</definedName>
    <definedName name="TRFSHORTNM1" localSheetId="6">#REF!</definedName>
    <definedName name="TRFSHORTNM1" localSheetId="7">#REF!</definedName>
    <definedName name="TRFSHORTNM1" localSheetId="9">#REF!</definedName>
    <definedName name="TRFSHORTNM1" localSheetId="8">#REF!</definedName>
    <definedName name="TRFSHORTNM1">#REF!</definedName>
    <definedName name="TRFSHORTNM2" localSheetId="5">#REF!</definedName>
    <definedName name="TRFSHORTNM2" localSheetId="6">#REF!</definedName>
    <definedName name="TRFSHORTNM2" localSheetId="7">#REF!</definedName>
    <definedName name="TRFSHORTNM2" localSheetId="9">#REF!</definedName>
    <definedName name="TRFSHORTNM2" localSheetId="8">#REF!</definedName>
    <definedName name="TRFSHORTNM2">#REF!</definedName>
    <definedName name="TrnBlkKwhChg1" localSheetId="5">#REF!</definedName>
    <definedName name="TrnBlkKwhChg1" localSheetId="6">#REF!</definedName>
    <definedName name="TrnBlkKwhChg1" localSheetId="7">#REF!</definedName>
    <definedName name="TrnBlkKwhChg1" localSheetId="9">#REF!</definedName>
    <definedName name="TrnBlkKwhChg1" localSheetId="8">#REF!</definedName>
    <definedName name="TrnBlkKwhChg1">#REF!</definedName>
    <definedName name="TrnBlkKwhChg2" localSheetId="5">#REF!</definedName>
    <definedName name="TrnBlkKwhChg2" localSheetId="6">#REF!</definedName>
    <definedName name="TrnBlkKwhChg2" localSheetId="7">#REF!</definedName>
    <definedName name="TrnBlkKwhChg2" localSheetId="9">#REF!</definedName>
    <definedName name="TrnBlkKwhChg2" localSheetId="8">#REF!</definedName>
    <definedName name="TrnBlkKwhChg2">#REF!</definedName>
    <definedName name="TrnBlkKwhChg3" localSheetId="5">#REF!</definedName>
    <definedName name="TrnBlkKwhChg3" localSheetId="6">#REF!</definedName>
    <definedName name="TrnBlkKwhChg3" localSheetId="7">#REF!</definedName>
    <definedName name="TrnBlkKwhChg3" localSheetId="9">#REF!</definedName>
    <definedName name="TrnBlkKwhChg3" localSheetId="8">#REF!</definedName>
    <definedName name="TrnBlkKwhChg3">#REF!</definedName>
    <definedName name="TrnBlkKwhChgT" localSheetId="5">#REF!</definedName>
    <definedName name="TrnBlkKwhChgT" localSheetId="6">#REF!</definedName>
    <definedName name="TrnBlkKwhChgT" localSheetId="7">#REF!</definedName>
    <definedName name="TrnBlkKwhChgT" localSheetId="9">#REF!</definedName>
    <definedName name="TrnBlkKwhChgT" localSheetId="8">#REF!</definedName>
    <definedName name="TrnBlkKwhChgT">#REF!</definedName>
    <definedName name="TRNCCHG" localSheetId="5">#REF!</definedName>
    <definedName name="TRNCCHG" localSheetId="6">#REF!</definedName>
    <definedName name="TRNCCHG" localSheetId="7">#REF!</definedName>
    <definedName name="TRNCCHG" localSheetId="9">#REF!</definedName>
    <definedName name="TRNCCHG" localSheetId="8">#REF!</definedName>
    <definedName name="TRNCCHG">#REF!</definedName>
    <definedName name="TrnCustChg" localSheetId="5">#REF!</definedName>
    <definedName name="TrnCustChg" localSheetId="6">#REF!</definedName>
    <definedName name="TrnCustChg" localSheetId="7">#REF!</definedName>
    <definedName name="TrnCustChg" localSheetId="9">#REF!</definedName>
    <definedName name="TrnCustChg" localSheetId="8">#REF!</definedName>
    <definedName name="TrnCustChg">#REF!</definedName>
    <definedName name="TRNDCHG1" localSheetId="5">#REF!</definedName>
    <definedName name="TRNDCHG1" localSheetId="6">#REF!</definedName>
    <definedName name="TRNDCHG1" localSheetId="7">#REF!</definedName>
    <definedName name="TRNDCHG1" localSheetId="9">#REF!</definedName>
    <definedName name="TRNDCHG1" localSheetId="8">#REF!</definedName>
    <definedName name="TRNDCHG1">#REF!</definedName>
    <definedName name="TRNDCHG2" localSheetId="5">#REF!</definedName>
    <definedName name="TRNDCHG2" localSheetId="6">#REF!</definedName>
    <definedName name="TRNDCHG2" localSheetId="7">#REF!</definedName>
    <definedName name="TRNDCHG2" localSheetId="9">#REF!</definedName>
    <definedName name="TRNDCHG2" localSheetId="8">#REF!</definedName>
    <definedName name="TRNDCHG2">#REF!</definedName>
    <definedName name="TrnDmdChg1" localSheetId="5">#REF!</definedName>
    <definedName name="TrnDmdChg1" localSheetId="6">#REF!</definedName>
    <definedName name="TrnDmdChg1" localSheetId="7">#REF!</definedName>
    <definedName name="TrnDmdChg1" localSheetId="9">#REF!</definedName>
    <definedName name="TrnDmdChg1" localSheetId="8">#REF!</definedName>
    <definedName name="TrnDmdChg1">#REF!</definedName>
    <definedName name="TrnDmdChg2" localSheetId="5">#REF!</definedName>
    <definedName name="TrnDmdChg2" localSheetId="6">#REF!</definedName>
    <definedName name="TrnDmdChg2" localSheetId="7">#REF!</definedName>
    <definedName name="TrnDmdChg2" localSheetId="9">#REF!</definedName>
    <definedName name="TrnDmdChg2" localSheetId="8">#REF!</definedName>
    <definedName name="TrnDmdChg2">#REF!</definedName>
    <definedName name="TRNECHG1" localSheetId="5">#REF!</definedName>
    <definedName name="TRNECHG1" localSheetId="6">#REF!</definedName>
    <definedName name="TRNECHG1" localSheetId="7">#REF!</definedName>
    <definedName name="TRNECHG1" localSheetId="9">#REF!</definedName>
    <definedName name="TRNECHG1" localSheetId="8">#REF!</definedName>
    <definedName name="TRNECHG1">#REF!</definedName>
    <definedName name="TRNECHGB1" localSheetId="5">#REF!</definedName>
    <definedName name="TRNECHGB1" localSheetId="6">#REF!</definedName>
    <definedName name="TRNECHGB1" localSheetId="7">#REF!</definedName>
    <definedName name="TRNECHGB1" localSheetId="9">#REF!</definedName>
    <definedName name="TRNECHGB1" localSheetId="8">#REF!</definedName>
    <definedName name="TRNECHGB1">#REF!</definedName>
    <definedName name="TRNECHGB2" localSheetId="5">#REF!</definedName>
    <definedName name="TRNECHGB2" localSheetId="6">#REF!</definedName>
    <definedName name="TRNECHGB2" localSheetId="7">#REF!</definedName>
    <definedName name="TRNECHGB2" localSheetId="9">#REF!</definedName>
    <definedName name="TRNECHGB2" localSheetId="8">#REF!</definedName>
    <definedName name="TRNECHGB2">#REF!</definedName>
    <definedName name="TRNECHGB3" localSheetId="5">#REF!</definedName>
    <definedName name="TRNECHGB3" localSheetId="6">#REF!</definedName>
    <definedName name="TRNECHGB3" localSheetId="7">#REF!</definedName>
    <definedName name="TRNECHGB3" localSheetId="9">#REF!</definedName>
    <definedName name="TRNECHGB3" localSheetId="8">#REF!</definedName>
    <definedName name="TRNECHGB3">#REF!</definedName>
    <definedName name="TrnMEChg" localSheetId="5">#REF!</definedName>
    <definedName name="TrnMEChg" localSheetId="6">#REF!</definedName>
    <definedName name="TrnMEChg" localSheetId="7">#REF!</definedName>
    <definedName name="TrnMEChg" localSheetId="9">#REF!</definedName>
    <definedName name="TrnMEChg" localSheetId="8">#REF!</definedName>
    <definedName name="TrnMEChg">#REF!</definedName>
    <definedName name="TRNMECHG1" localSheetId="5">#REF!</definedName>
    <definedName name="TRNMECHG1" localSheetId="6">#REF!</definedName>
    <definedName name="TRNMECHG1" localSheetId="7">#REF!</definedName>
    <definedName name="TRNMECHG1" localSheetId="9">#REF!</definedName>
    <definedName name="TRNMECHG1" localSheetId="8">#REF!</definedName>
    <definedName name="TRNMECHG1">#REF!</definedName>
    <definedName name="TRNMINDC" localSheetId="5">#REF!</definedName>
    <definedName name="TRNMINDC" localSheetId="6">#REF!</definedName>
    <definedName name="TRNMINDC" localSheetId="7">#REF!</definedName>
    <definedName name="TRNMINDC" localSheetId="9">#REF!</definedName>
    <definedName name="TRNMINDC" localSheetId="8">#REF!</definedName>
    <definedName name="TRNMINDC">#REF!</definedName>
    <definedName name="TrnMinDChg" localSheetId="5">#REF!</definedName>
    <definedName name="TrnMinDChg" localSheetId="6">#REF!</definedName>
    <definedName name="TrnMinDChg" localSheetId="7">#REF!</definedName>
    <definedName name="TrnMinDChg" localSheetId="9">#REF!</definedName>
    <definedName name="TrnMinDChg" localSheetId="8">#REF!</definedName>
    <definedName name="TrnMinDChg">#REF!</definedName>
    <definedName name="TRNMINEC" localSheetId="5">#REF!</definedName>
    <definedName name="TRNMINEC" localSheetId="6">#REF!</definedName>
    <definedName name="TRNMINEC" localSheetId="7">#REF!</definedName>
    <definedName name="TRNMINEC" localSheetId="9">#REF!</definedName>
    <definedName name="TRNMINEC" localSheetId="8">#REF!</definedName>
    <definedName name="TRNMINEC">#REF!</definedName>
    <definedName name="TrnMinEChg" localSheetId="5">#REF!</definedName>
    <definedName name="TrnMinEChg" localSheetId="6">#REF!</definedName>
    <definedName name="TrnMinEChg" localSheetId="7">#REF!</definedName>
    <definedName name="TrnMinEChg" localSheetId="9">#REF!</definedName>
    <definedName name="TrnMinEChg" localSheetId="8">#REF!</definedName>
    <definedName name="TrnMinEChg">#REF!</definedName>
    <definedName name="TrnOffPkKwh" localSheetId="5">#REF!</definedName>
    <definedName name="TrnOffPkKwh" localSheetId="6">#REF!</definedName>
    <definedName name="TrnOffPkKwh" localSheetId="7">#REF!</definedName>
    <definedName name="TrnOffPkKwh" localSheetId="9">#REF!</definedName>
    <definedName name="TrnOffPkKwh" localSheetId="8">#REF!</definedName>
    <definedName name="TrnOffPkKwh">#REF!</definedName>
    <definedName name="TRNOFKWH" localSheetId="5">#REF!</definedName>
    <definedName name="TRNOFKWH" localSheetId="6">#REF!</definedName>
    <definedName name="TRNOFKWH" localSheetId="7">#REF!</definedName>
    <definedName name="TRNOFKWH" localSheetId="9">#REF!</definedName>
    <definedName name="TRNOFKWH" localSheetId="8">#REF!</definedName>
    <definedName name="TRNOFKWH">#REF!</definedName>
    <definedName name="TrnOnPkKwh" localSheetId="5">#REF!</definedName>
    <definedName name="TrnOnPkKwh" localSheetId="6">#REF!</definedName>
    <definedName name="TrnOnPkKwh" localSheetId="7">#REF!</definedName>
    <definedName name="TrnOnPkKwh" localSheetId="9">#REF!</definedName>
    <definedName name="TrnOnPkKwh" localSheetId="8">#REF!</definedName>
    <definedName name="TrnOnPkKwh">#REF!</definedName>
    <definedName name="TRNOPKWH" localSheetId="5">#REF!</definedName>
    <definedName name="TRNOPKWH" localSheetId="6">#REF!</definedName>
    <definedName name="TRNOPKWH" localSheetId="7">#REF!</definedName>
    <definedName name="TRNOPKWH" localSheetId="9">#REF!</definedName>
    <definedName name="TRNOPKWH" localSheetId="8">#REF!</definedName>
    <definedName name="TRNOPKWH">#REF!</definedName>
    <definedName name="TRNP1EC" localSheetId="5">#REF!</definedName>
    <definedName name="TRNP1EC" localSheetId="6">#REF!</definedName>
    <definedName name="TRNP1EC" localSheetId="7">#REF!</definedName>
    <definedName name="TRNP1EC" localSheetId="9">#REF!</definedName>
    <definedName name="TRNP1EC" localSheetId="8">#REF!</definedName>
    <definedName name="TRNP1EC">#REF!</definedName>
    <definedName name="TRNP2EC" localSheetId="5">#REF!</definedName>
    <definedName name="TRNP2EC" localSheetId="6">#REF!</definedName>
    <definedName name="TRNP2EC" localSheetId="7">#REF!</definedName>
    <definedName name="TRNP2EC" localSheetId="9">#REF!</definedName>
    <definedName name="TRNP2EC" localSheetId="8">#REF!</definedName>
    <definedName name="TRNP2EC">#REF!</definedName>
    <definedName name="TRNP3EC" localSheetId="5">#REF!</definedName>
    <definedName name="TRNP3EC" localSheetId="6">#REF!</definedName>
    <definedName name="TRNP3EC" localSheetId="7">#REF!</definedName>
    <definedName name="TRNP3EC" localSheetId="9">#REF!</definedName>
    <definedName name="TRNP3EC" localSheetId="8">#REF!</definedName>
    <definedName name="TRNP3EC">#REF!</definedName>
    <definedName name="TRNP4EC" localSheetId="5">#REF!</definedName>
    <definedName name="TRNP4EC" localSheetId="6">#REF!</definedName>
    <definedName name="TRNP4EC" localSheetId="7">#REF!</definedName>
    <definedName name="TRNP4EC" localSheetId="9">#REF!</definedName>
    <definedName name="TRNP4EC" localSheetId="8">#REF!</definedName>
    <definedName name="TRNP4EC">#REF!</definedName>
    <definedName name="TRNP5EC" localSheetId="5">#REF!</definedName>
    <definedName name="TRNP5EC" localSheetId="6">#REF!</definedName>
    <definedName name="TRNP5EC" localSheetId="7">#REF!</definedName>
    <definedName name="TRNP5EC" localSheetId="9">#REF!</definedName>
    <definedName name="TRNP5EC" localSheetId="8">#REF!</definedName>
    <definedName name="TRNP5EC">#REF!</definedName>
    <definedName name="TrnPL1Chg" localSheetId="5">#REF!</definedName>
    <definedName name="TrnPL1Chg" localSheetId="6">#REF!</definedName>
    <definedName name="TrnPL1Chg" localSheetId="7">#REF!</definedName>
    <definedName name="TrnPL1Chg" localSheetId="9">#REF!</definedName>
    <definedName name="TrnPL1Chg" localSheetId="8">#REF!</definedName>
    <definedName name="TrnPL1Chg">#REF!</definedName>
    <definedName name="TrnPL2Chg" localSheetId="5">#REF!</definedName>
    <definedName name="TrnPL2Chg" localSheetId="6">#REF!</definedName>
    <definedName name="TrnPL2Chg" localSheetId="7">#REF!</definedName>
    <definedName name="TrnPL2Chg" localSheetId="9">#REF!</definedName>
    <definedName name="TrnPL2Chg" localSheetId="8">#REF!</definedName>
    <definedName name="TrnPL2Chg">#REF!</definedName>
    <definedName name="TrnPL3Chg" localSheetId="5">#REF!</definedName>
    <definedName name="TrnPL3Chg" localSheetId="6">#REF!</definedName>
    <definedName name="TrnPL3Chg" localSheetId="7">#REF!</definedName>
    <definedName name="TrnPL3Chg" localSheetId="9">#REF!</definedName>
    <definedName name="TrnPL3Chg" localSheetId="8">#REF!</definedName>
    <definedName name="TrnPL3Chg">#REF!</definedName>
    <definedName name="TrnPL4Chg" localSheetId="5">#REF!</definedName>
    <definedName name="TrnPL4Chg" localSheetId="6">#REF!</definedName>
    <definedName name="TrnPL4Chg" localSheetId="7">#REF!</definedName>
    <definedName name="TrnPL4Chg" localSheetId="9">#REF!</definedName>
    <definedName name="TrnPL4Chg" localSheetId="8">#REF!</definedName>
    <definedName name="TrnPL4Chg">#REF!</definedName>
    <definedName name="TrnPL5Chg" localSheetId="5">#REF!</definedName>
    <definedName name="TrnPL5Chg" localSheetId="6">#REF!</definedName>
    <definedName name="TrnPL5Chg" localSheetId="7">#REF!</definedName>
    <definedName name="TrnPL5Chg" localSheetId="9">#REF!</definedName>
    <definedName name="TrnPL5Chg" localSheetId="8">#REF!</definedName>
    <definedName name="TrnPL5Chg">#REF!</definedName>
    <definedName name="TRNRCHG" localSheetId="5">#REF!</definedName>
    <definedName name="TRNRCHG" localSheetId="6">#REF!</definedName>
    <definedName name="TRNRCHG" localSheetId="7">#REF!</definedName>
    <definedName name="TRNRCHG" localSheetId="9">#REF!</definedName>
    <definedName name="TRNRCHG" localSheetId="8">#REF!</definedName>
    <definedName name="TRNRCHG">#REF!</definedName>
    <definedName name="TrnReactiveChg" localSheetId="5">#REF!</definedName>
    <definedName name="TrnReactiveChg" localSheetId="6">#REF!</definedName>
    <definedName name="TrnReactiveChg" localSheetId="7">#REF!</definedName>
    <definedName name="TrnReactiveChg" localSheetId="9">#REF!</definedName>
    <definedName name="TrnReactiveChg" localSheetId="8">#REF!</definedName>
    <definedName name="TrnReactiveChg">#REF!</definedName>
    <definedName name="TRNSKWTOFPK" localSheetId="5">#REF!</definedName>
    <definedName name="TRNSKWTOFPK" localSheetId="6">#REF!</definedName>
    <definedName name="TRNSKWTOFPK" localSheetId="7">#REF!</definedName>
    <definedName name="TRNSKWTOFPK" localSheetId="9">#REF!</definedName>
    <definedName name="TRNSKWTOFPK" localSheetId="8">#REF!</definedName>
    <definedName name="TRNSKWTOFPK">#REF!</definedName>
    <definedName name="TRNSKWTONPK" localSheetId="5">#REF!</definedName>
    <definedName name="TRNSKWTONPK" localSheetId="6">#REF!</definedName>
    <definedName name="TRNSKWTONPK" localSheetId="7">#REF!</definedName>
    <definedName name="TRNSKWTONPK" localSheetId="9">#REF!</definedName>
    <definedName name="TRNSKWTONPK" localSheetId="8">#REF!</definedName>
    <definedName name="TRNSKWTONPK">#REF!</definedName>
    <definedName name="TRNXOFKVA" localSheetId="5">#REF!</definedName>
    <definedName name="TRNXOFKVA" localSheetId="6">#REF!</definedName>
    <definedName name="TRNXOFKVA" localSheetId="7">#REF!</definedName>
    <definedName name="TRNXOFKVA" localSheetId="9">#REF!</definedName>
    <definedName name="TRNXOFKVA" localSheetId="8">#REF!</definedName>
    <definedName name="TRNXOFKVA">#REF!</definedName>
    <definedName name="TRNXOFKW" localSheetId="5">#REF!</definedName>
    <definedName name="TRNXOFKW" localSheetId="6">#REF!</definedName>
    <definedName name="TRNXOFKW" localSheetId="7">#REF!</definedName>
    <definedName name="TRNXOFKW" localSheetId="9">#REF!</definedName>
    <definedName name="TRNXOFKW" localSheetId="8">#REF!</definedName>
    <definedName name="TRNXOFKW">#REF!</definedName>
    <definedName name="TrnXOfpKvaChg" localSheetId="5">#REF!</definedName>
    <definedName name="TrnXOfpKvaChg" localSheetId="6">#REF!</definedName>
    <definedName name="TrnXOfpKvaChg" localSheetId="7">#REF!</definedName>
    <definedName name="TrnXOfpKvaChg" localSheetId="9">#REF!</definedName>
    <definedName name="TrnXOfpKvaChg" localSheetId="8">#REF!</definedName>
    <definedName name="TrnXOfpKvaChg">#REF!</definedName>
    <definedName name="TrnXOfpKwChg" localSheetId="5">#REF!</definedName>
    <definedName name="TrnXOfpKwChg" localSheetId="6">#REF!</definedName>
    <definedName name="TrnXOfpKwChg" localSheetId="7">#REF!</definedName>
    <definedName name="TrnXOfpKwChg" localSheetId="9">#REF!</definedName>
    <definedName name="TrnXOfpKwChg" localSheetId="8">#REF!</definedName>
    <definedName name="TrnXOfpKwChg">#REF!</definedName>
    <definedName name="TTLBSRATETTL" localSheetId="5">#REF!</definedName>
    <definedName name="TTLBSRATETTL" localSheetId="6">#REF!</definedName>
    <definedName name="TTLBSRATETTL" localSheetId="7">#REF!</definedName>
    <definedName name="TTLBSRATETTL" localSheetId="9">#REF!</definedName>
    <definedName name="TTLBSRATETTL" localSheetId="8">#REF!</definedName>
    <definedName name="TTLBSRATETTL">#REF!</definedName>
    <definedName name="TTLCOGENKWH" localSheetId="5">#REF!</definedName>
    <definedName name="TTLCOGENKWH" localSheetId="6">#REF!</definedName>
    <definedName name="TTLCOGENKWH" localSheetId="7">#REF!</definedName>
    <definedName name="TTLCOGENKWH" localSheetId="9">#REF!</definedName>
    <definedName name="TTLCOGENKWH" localSheetId="8">#REF!</definedName>
    <definedName name="TTLCOGENKWH">#REF!</definedName>
    <definedName name="UNBUNDIND" localSheetId="5">#REF!</definedName>
    <definedName name="UNBUNDIND" localSheetId="6">#REF!</definedName>
    <definedName name="UNBUNDIND" localSheetId="7">#REF!</definedName>
    <definedName name="UNBUNDIND" localSheetId="9">#REF!</definedName>
    <definedName name="UNBUNDIND" localSheetId="8">#REF!</definedName>
    <definedName name="UNBUNDIND">#REF!</definedName>
    <definedName name="WADSWORTH" localSheetId="2">#REF!</definedName>
    <definedName name="WADSWORTH" localSheetId="9">#REF!</definedName>
    <definedName name="WADSWORTH">#REF!</definedName>
    <definedName name="YrHistoric">'[7]Formula Rate - Historic'!$O$1</definedName>
    <definedName name="Zip" localSheetId="5">#REF!</definedName>
    <definedName name="Zip" localSheetId="6">#REF!</definedName>
    <definedName name="Zip" localSheetId="7">#REF!</definedName>
    <definedName name="Zip" localSheetId="9">#REF!</definedName>
    <definedName name="Zip" localSheetId="8">#REF!</definedName>
    <definedName name="Zip">#REF!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9" l="1"/>
  <c r="C24" i="19"/>
  <c r="P6" i="18"/>
  <c r="P6" i="17"/>
  <c r="D329" i="18"/>
  <c r="F315" i="18"/>
  <c r="F314" i="18"/>
  <c r="F313" i="18"/>
  <c r="E249" i="18"/>
  <c r="J245" i="18"/>
  <c r="J244" i="18"/>
  <c r="E243" i="18"/>
  <c r="P242" i="18"/>
  <c r="P240" i="18"/>
  <c r="P239" i="18"/>
  <c r="P237" i="18"/>
  <c r="P235" i="18"/>
  <c r="P234" i="18"/>
  <c r="P232" i="18"/>
  <c r="P231" i="18"/>
  <c r="P230" i="18"/>
  <c r="E230" i="18"/>
  <c r="D331" i="18" s="1"/>
  <c r="P229" i="18"/>
  <c r="E226" i="18"/>
  <c r="J226" i="18" s="1"/>
  <c r="D226" i="18"/>
  <c r="E225" i="18"/>
  <c r="J225" i="18" s="1"/>
  <c r="D225" i="18"/>
  <c r="E224" i="18"/>
  <c r="P223" i="18"/>
  <c r="L221" i="18"/>
  <c r="P221" i="18" s="1"/>
  <c r="E221" i="18"/>
  <c r="P220" i="18"/>
  <c r="L220" i="18"/>
  <c r="E220" i="18"/>
  <c r="L219" i="18"/>
  <c r="P219" i="18" s="1"/>
  <c r="E219" i="18"/>
  <c r="L218" i="18"/>
  <c r="E218" i="18"/>
  <c r="P216" i="18"/>
  <c r="L216" i="18"/>
  <c r="L215" i="18"/>
  <c r="P215" i="18" s="1"/>
  <c r="P213" i="18"/>
  <c r="P212" i="18"/>
  <c r="P210" i="18"/>
  <c r="F209" i="18"/>
  <c r="J208" i="18"/>
  <c r="L208" i="18" s="1"/>
  <c r="P208" i="18" s="1"/>
  <c r="H208" i="18"/>
  <c r="F208" i="18"/>
  <c r="P207" i="18"/>
  <c r="J206" i="18"/>
  <c r="L206" i="18" s="1"/>
  <c r="P206" i="18" s="1"/>
  <c r="H206" i="18"/>
  <c r="G206" i="18"/>
  <c r="F206" i="18"/>
  <c r="G205" i="18"/>
  <c r="F205" i="18"/>
  <c r="P204" i="18"/>
  <c r="P203" i="18"/>
  <c r="P202" i="18"/>
  <c r="P200" i="18"/>
  <c r="P198" i="18"/>
  <c r="L198" i="18"/>
  <c r="D198" i="18"/>
  <c r="P197" i="18"/>
  <c r="P195" i="18"/>
  <c r="P194" i="18"/>
  <c r="P193" i="18"/>
  <c r="P192" i="18"/>
  <c r="P191" i="18"/>
  <c r="P190" i="18"/>
  <c r="P189" i="18"/>
  <c r="P188" i="18"/>
  <c r="P187" i="18"/>
  <c r="F187" i="18"/>
  <c r="F252" i="18" s="1"/>
  <c r="P186" i="18"/>
  <c r="P185" i="18"/>
  <c r="P184" i="18"/>
  <c r="P182" i="18"/>
  <c r="P181" i="18"/>
  <c r="L181" i="18"/>
  <c r="G181" i="18"/>
  <c r="P180" i="18"/>
  <c r="P179" i="18"/>
  <c r="P177" i="18"/>
  <c r="J176" i="18"/>
  <c r="L176" i="18" s="1"/>
  <c r="P176" i="18" s="1"/>
  <c r="G176" i="18"/>
  <c r="P175" i="18"/>
  <c r="P173" i="18"/>
  <c r="P169" i="18"/>
  <c r="P168" i="18"/>
  <c r="G168" i="18"/>
  <c r="P167" i="18"/>
  <c r="G167" i="18"/>
  <c r="G171" i="18" s="1"/>
  <c r="P166" i="18"/>
  <c r="P165" i="18"/>
  <c r="P164" i="18"/>
  <c r="P163" i="18"/>
  <c r="G163" i="18"/>
  <c r="P162" i="18"/>
  <c r="P161" i="18"/>
  <c r="G159" i="18"/>
  <c r="J158" i="18"/>
  <c r="G158" i="18"/>
  <c r="G160" i="18" s="1"/>
  <c r="G157" i="18"/>
  <c r="P156" i="18"/>
  <c r="G155" i="18"/>
  <c r="P154" i="18"/>
  <c r="P153" i="18"/>
  <c r="P152" i="18"/>
  <c r="G150" i="18"/>
  <c r="G149" i="18"/>
  <c r="E149" i="18"/>
  <c r="G148" i="18"/>
  <c r="G147" i="18"/>
  <c r="G151" i="18" s="1"/>
  <c r="D147" i="18"/>
  <c r="P146" i="18"/>
  <c r="P145" i="18"/>
  <c r="L142" i="18"/>
  <c r="P142" i="18" s="1"/>
  <c r="J142" i="18"/>
  <c r="G142" i="18"/>
  <c r="E142" i="18"/>
  <c r="J141" i="18"/>
  <c r="L141" i="18" s="1"/>
  <c r="P141" i="18" s="1"/>
  <c r="G141" i="18"/>
  <c r="E141" i="18"/>
  <c r="G140" i="18"/>
  <c r="G139" i="18"/>
  <c r="G138" i="18"/>
  <c r="P136" i="18"/>
  <c r="G136" i="18"/>
  <c r="P135" i="18"/>
  <c r="G135" i="18"/>
  <c r="P134" i="18"/>
  <c r="G134" i="18"/>
  <c r="P133" i="18"/>
  <c r="G133" i="18"/>
  <c r="P132" i="18"/>
  <c r="G132" i="18"/>
  <c r="P131" i="18"/>
  <c r="P129" i="18"/>
  <c r="G129" i="18"/>
  <c r="D129" i="18"/>
  <c r="P128" i="18"/>
  <c r="G128" i="18"/>
  <c r="P127" i="18"/>
  <c r="G127" i="18"/>
  <c r="P126" i="18"/>
  <c r="G126" i="18"/>
  <c r="P125" i="18"/>
  <c r="P124" i="18"/>
  <c r="L123" i="18"/>
  <c r="I123" i="18"/>
  <c r="G123" i="18"/>
  <c r="E123" i="18"/>
  <c r="L122" i="18"/>
  <c r="E122" i="18"/>
  <c r="P121" i="18"/>
  <c r="P120" i="18"/>
  <c r="P119" i="18"/>
  <c r="P118" i="18"/>
  <c r="P117" i="18"/>
  <c r="P116" i="18"/>
  <c r="P115" i="18"/>
  <c r="F115" i="18"/>
  <c r="P114" i="18"/>
  <c r="F114" i="18"/>
  <c r="F186" i="18" s="1"/>
  <c r="F251" i="18" s="1"/>
  <c r="P113" i="18"/>
  <c r="P112" i="18"/>
  <c r="P110" i="18"/>
  <c r="J109" i="18"/>
  <c r="E109" i="18"/>
  <c r="P108" i="18"/>
  <c r="J106" i="18"/>
  <c r="G106" i="18"/>
  <c r="J105" i="18"/>
  <c r="G105" i="18"/>
  <c r="L105" i="18" s="1"/>
  <c r="P105" i="18" s="1"/>
  <c r="G104" i="18"/>
  <c r="G103" i="18"/>
  <c r="G102" i="18"/>
  <c r="E102" i="18"/>
  <c r="G101" i="18"/>
  <c r="E101" i="18"/>
  <c r="G100" i="18"/>
  <c r="E100" i="18"/>
  <c r="P98" i="18"/>
  <c r="P97" i="18"/>
  <c r="G96" i="18"/>
  <c r="L96" i="18" s="1"/>
  <c r="P96" i="18" s="1"/>
  <c r="E96" i="18"/>
  <c r="P95" i="18"/>
  <c r="P94" i="18"/>
  <c r="L94" i="18"/>
  <c r="G94" i="18"/>
  <c r="P93" i="18"/>
  <c r="P91" i="18"/>
  <c r="L91" i="18"/>
  <c r="G91" i="18"/>
  <c r="L90" i="18"/>
  <c r="P90" i="18" s="1"/>
  <c r="G90" i="18"/>
  <c r="P89" i="18"/>
  <c r="L89" i="18"/>
  <c r="G89" i="18"/>
  <c r="L88" i="18"/>
  <c r="G88" i="18"/>
  <c r="G92" i="18" s="1"/>
  <c r="P87" i="18"/>
  <c r="G87" i="18"/>
  <c r="P86" i="18"/>
  <c r="P85" i="18"/>
  <c r="P84" i="18"/>
  <c r="D82" i="18"/>
  <c r="G81" i="18"/>
  <c r="P80" i="18"/>
  <c r="G79" i="18"/>
  <c r="D79" i="18"/>
  <c r="P78" i="18"/>
  <c r="P77" i="18"/>
  <c r="P76" i="18"/>
  <c r="G74" i="18"/>
  <c r="D74" i="18"/>
  <c r="G73" i="18"/>
  <c r="G72" i="18"/>
  <c r="D72" i="18"/>
  <c r="D81" i="18" s="1"/>
  <c r="P71" i="18"/>
  <c r="P70" i="18"/>
  <c r="G69" i="18"/>
  <c r="G75" i="18" s="1"/>
  <c r="L68" i="18"/>
  <c r="P68" i="18" s="1"/>
  <c r="G68" i="18"/>
  <c r="D68" i="18"/>
  <c r="P67" i="18"/>
  <c r="P66" i="18"/>
  <c r="P65" i="18"/>
  <c r="P64" i="18"/>
  <c r="G63" i="18"/>
  <c r="G109" i="18" s="1"/>
  <c r="G62" i="18"/>
  <c r="G82" i="18" s="1"/>
  <c r="G61" i="18"/>
  <c r="G60" i="18"/>
  <c r="P59" i="18"/>
  <c r="P58" i="18"/>
  <c r="G57" i="18"/>
  <c r="G56" i="18"/>
  <c r="L196" i="18" s="1"/>
  <c r="P196" i="18" s="1"/>
  <c r="P55" i="18"/>
  <c r="P54" i="18"/>
  <c r="P53" i="18"/>
  <c r="B53" i="18"/>
  <c r="B125" i="18" s="1"/>
  <c r="P52" i="18"/>
  <c r="B52" i="18"/>
  <c r="B124" i="18" s="1"/>
  <c r="P49" i="18"/>
  <c r="P48" i="18"/>
  <c r="P47" i="18"/>
  <c r="P46" i="18"/>
  <c r="P45" i="18"/>
  <c r="P44" i="18"/>
  <c r="F44" i="18"/>
  <c r="F116" i="18" s="1"/>
  <c r="F188" i="18" s="1"/>
  <c r="F253" i="18" s="1"/>
  <c r="P43" i="18"/>
  <c r="F43" i="18"/>
  <c r="P42" i="18"/>
  <c r="F42" i="18"/>
  <c r="P41" i="18"/>
  <c r="P40" i="18"/>
  <c r="P39" i="18"/>
  <c r="P38" i="18"/>
  <c r="P37" i="18"/>
  <c r="P36" i="18"/>
  <c r="P35" i="18"/>
  <c r="L35" i="18"/>
  <c r="P34" i="18"/>
  <c r="P32" i="18"/>
  <c r="P31" i="18"/>
  <c r="P29" i="18"/>
  <c r="P28" i="18"/>
  <c r="P25" i="18"/>
  <c r="P24" i="18"/>
  <c r="J23" i="18"/>
  <c r="G23" i="18"/>
  <c r="P22" i="18"/>
  <c r="P21" i="18"/>
  <c r="P20" i="18"/>
  <c r="P19" i="18"/>
  <c r="P17" i="18"/>
  <c r="J15" i="18"/>
  <c r="L15" i="18" s="1"/>
  <c r="G15" i="18"/>
  <c r="B15" i="18"/>
  <c r="B16" i="18" s="1"/>
  <c r="J14" i="18"/>
  <c r="G14" i="18"/>
  <c r="P13" i="18"/>
  <c r="B13" i="18"/>
  <c r="B14" i="18" s="1"/>
  <c r="P12" i="18"/>
  <c r="F7" i="18"/>
  <c r="D326" i="18" s="1"/>
  <c r="F5" i="18"/>
  <c r="N2" i="18"/>
  <c r="N1" i="18"/>
  <c r="L149" i="18" l="1"/>
  <c r="P149" i="18" s="1"/>
  <c r="C25" i="19"/>
  <c r="L23" i="18"/>
  <c r="P23" i="18" s="1"/>
  <c r="L109" i="18"/>
  <c r="P109" i="18" s="1"/>
  <c r="L222" i="18"/>
  <c r="L92" i="18"/>
  <c r="P92" i="18" s="1"/>
  <c r="P88" i="18"/>
  <c r="P15" i="18"/>
  <c r="L201" i="18"/>
  <c r="L199" i="18"/>
  <c r="G83" i="18"/>
  <c r="G130" i="18"/>
  <c r="G209" i="18"/>
  <c r="H205" i="18"/>
  <c r="H209" i="18" s="1"/>
  <c r="P238" i="18"/>
  <c r="L241" i="18"/>
  <c r="E18" i="18"/>
  <c r="B18" i="18"/>
  <c r="B23" i="18" s="1"/>
  <c r="B25" i="18" s="1"/>
  <c r="B26" i="18" s="1"/>
  <c r="J68" i="18"/>
  <c r="G16" i="18"/>
  <c r="L106" i="18"/>
  <c r="P106" i="18" s="1"/>
  <c r="G137" i="18"/>
  <c r="G143" i="18" s="1"/>
  <c r="F46" i="18"/>
  <c r="F118" i="18" s="1"/>
  <c r="F190" i="18" s="1"/>
  <c r="F255" i="18" s="1"/>
  <c r="J64" i="18"/>
  <c r="J356" i="18" s="1"/>
  <c r="P218" i="18"/>
  <c r="L158" i="18"/>
  <c r="P158" i="18" s="1"/>
  <c r="L14" i="18"/>
  <c r="P14" i="18" s="1"/>
  <c r="N1" i="17"/>
  <c r="N2" i="17"/>
  <c r="F5" i="17"/>
  <c r="F44" i="17" s="1"/>
  <c r="F116" i="17" s="1"/>
  <c r="F188" i="17" s="1"/>
  <c r="F253" i="17" s="1"/>
  <c r="F7" i="17"/>
  <c r="D326" i="17" s="1"/>
  <c r="P12" i="17"/>
  <c r="B13" i="17"/>
  <c r="P13" i="17"/>
  <c r="B14" i="17"/>
  <c r="G14" i="17"/>
  <c r="G16" i="17" s="1"/>
  <c r="J14" i="17"/>
  <c r="L14" i="17" s="1"/>
  <c r="P14" i="17" s="1"/>
  <c r="B15" i="17"/>
  <c r="B16" i="17" s="1"/>
  <c r="G15" i="17"/>
  <c r="J15" i="17"/>
  <c r="L15" i="17" s="1"/>
  <c r="P17" i="17"/>
  <c r="P19" i="17"/>
  <c r="P20" i="17"/>
  <c r="P21" i="17"/>
  <c r="P22" i="17"/>
  <c r="G23" i="17"/>
  <c r="J23" i="17"/>
  <c r="P24" i="17"/>
  <c r="P25" i="17"/>
  <c r="P28" i="17"/>
  <c r="P29" i="17"/>
  <c r="P31" i="17"/>
  <c r="P32" i="17"/>
  <c r="P34" i="17"/>
  <c r="L35" i="17"/>
  <c r="P35" i="17" s="1"/>
  <c r="P36" i="17"/>
  <c r="P37" i="17"/>
  <c r="P38" i="17"/>
  <c r="P39" i="17"/>
  <c r="P40" i="17"/>
  <c r="P41" i="17"/>
  <c r="F42" i="17"/>
  <c r="P42" i="17"/>
  <c r="F43" i="17"/>
  <c r="F115" i="17" s="1"/>
  <c r="F187" i="17" s="1"/>
  <c r="F252" i="17" s="1"/>
  <c r="P43" i="17"/>
  <c r="P44" i="17"/>
  <c r="P45" i="17"/>
  <c r="F46" i="17"/>
  <c r="F118" i="17" s="1"/>
  <c r="F190" i="17" s="1"/>
  <c r="F255" i="17" s="1"/>
  <c r="P46" i="17"/>
  <c r="P47" i="17"/>
  <c r="P48" i="17"/>
  <c r="P49" i="17"/>
  <c r="B52" i="17"/>
  <c r="P52" i="17"/>
  <c r="B53" i="17"/>
  <c r="P53" i="17"/>
  <c r="P54" i="17"/>
  <c r="P55" i="17"/>
  <c r="G56" i="17"/>
  <c r="G63" i="17" s="1"/>
  <c r="G57" i="17"/>
  <c r="P58" i="17"/>
  <c r="P59" i="17"/>
  <c r="G60" i="17"/>
  <c r="G61" i="17"/>
  <c r="G62" i="17"/>
  <c r="J64" i="17"/>
  <c r="J356" i="17" s="1"/>
  <c r="P64" i="17"/>
  <c r="P65" i="17"/>
  <c r="P66" i="17"/>
  <c r="P67" i="17"/>
  <c r="D68" i="17"/>
  <c r="D79" i="17" s="1"/>
  <c r="G68" i="17"/>
  <c r="L68" i="17"/>
  <c r="P68" i="17" s="1"/>
  <c r="G69" i="17"/>
  <c r="P70" i="17"/>
  <c r="P71" i="17"/>
  <c r="D72" i="17"/>
  <c r="G72" i="17"/>
  <c r="G73" i="17"/>
  <c r="D74" i="17"/>
  <c r="D82" i="17" s="1"/>
  <c r="G74" i="17"/>
  <c r="G82" i="17" s="1"/>
  <c r="P76" i="17"/>
  <c r="P77" i="17"/>
  <c r="P78" i="17"/>
  <c r="P80" i="17"/>
  <c r="D81" i="17"/>
  <c r="P84" i="17"/>
  <c r="P85" i="17"/>
  <c r="P86" i="17"/>
  <c r="G87" i="17"/>
  <c r="P87" i="17"/>
  <c r="G88" i="17"/>
  <c r="L88" i="17"/>
  <c r="P88" i="17" s="1"/>
  <c r="G89" i="17"/>
  <c r="L89" i="17"/>
  <c r="P89" i="17" s="1"/>
  <c r="G90" i="17"/>
  <c r="L90" i="17"/>
  <c r="P90" i="17" s="1"/>
  <c r="G91" i="17"/>
  <c r="L91" i="17"/>
  <c r="P91" i="17" s="1"/>
  <c r="P93" i="17"/>
  <c r="G94" i="17"/>
  <c r="L94" i="17"/>
  <c r="P94" i="17"/>
  <c r="P95" i="17"/>
  <c r="E96" i="17"/>
  <c r="G96" i="17"/>
  <c r="L96" i="17" s="1"/>
  <c r="P96" i="17" s="1"/>
  <c r="P97" i="17"/>
  <c r="P98" i="17"/>
  <c r="E100" i="17"/>
  <c r="G100" i="17"/>
  <c r="E101" i="17"/>
  <c r="G101" i="17"/>
  <c r="E102" i="17"/>
  <c r="G102" i="17"/>
  <c r="G103" i="17"/>
  <c r="G104" i="17"/>
  <c r="G105" i="17"/>
  <c r="L105" i="17" s="1"/>
  <c r="P105" i="17" s="1"/>
  <c r="J105" i="17"/>
  <c r="G106" i="17"/>
  <c r="J106" i="17"/>
  <c r="P108" i="17"/>
  <c r="E109" i="17"/>
  <c r="J109" i="17"/>
  <c r="P110" i="17"/>
  <c r="P112" i="17"/>
  <c r="P113" i="17"/>
  <c r="F114" i="17"/>
  <c r="P114" i="17"/>
  <c r="P115" i="17"/>
  <c r="P116" i="17"/>
  <c r="P117" i="17"/>
  <c r="P118" i="17"/>
  <c r="P119" i="17"/>
  <c r="P120" i="17"/>
  <c r="P121" i="17"/>
  <c r="E122" i="17"/>
  <c r="L122" i="17"/>
  <c r="E123" i="17"/>
  <c r="G123" i="17"/>
  <c r="I123" i="17"/>
  <c r="L123" i="17"/>
  <c r="B124" i="17"/>
  <c r="P124" i="17"/>
  <c r="B125" i="17"/>
  <c r="P125" i="17"/>
  <c r="G126" i="17"/>
  <c r="P126" i="17"/>
  <c r="G127" i="17"/>
  <c r="P127" i="17"/>
  <c r="G128" i="17"/>
  <c r="P128" i="17"/>
  <c r="D129" i="17"/>
  <c r="G129" i="17"/>
  <c r="P129" i="17"/>
  <c r="P131" i="17"/>
  <c r="G132" i="17"/>
  <c r="P132" i="17"/>
  <c r="G133" i="17"/>
  <c r="P133" i="17"/>
  <c r="G134" i="17"/>
  <c r="P134" i="17"/>
  <c r="G135" i="17"/>
  <c r="P135" i="17"/>
  <c r="G136" i="17"/>
  <c r="P136" i="17"/>
  <c r="G138" i="17"/>
  <c r="G139" i="17"/>
  <c r="G140" i="17"/>
  <c r="E141" i="17"/>
  <c r="G141" i="17"/>
  <c r="J141" i="17"/>
  <c r="E142" i="17"/>
  <c r="G142" i="17"/>
  <c r="L142" i="17" s="1"/>
  <c r="P142" i="17" s="1"/>
  <c r="J142" i="17"/>
  <c r="P145" i="17"/>
  <c r="P146" i="17"/>
  <c r="D147" i="17"/>
  <c r="G147" i="17"/>
  <c r="G148" i="17"/>
  <c r="E149" i="17"/>
  <c r="G149" i="17"/>
  <c r="G150" i="17"/>
  <c r="P152" i="17"/>
  <c r="P153" i="17"/>
  <c r="P154" i="17"/>
  <c r="G155" i="17"/>
  <c r="P156" i="17"/>
  <c r="G157" i="17"/>
  <c r="G158" i="17"/>
  <c r="J158" i="17"/>
  <c r="L158" i="17" s="1"/>
  <c r="P158" i="17" s="1"/>
  <c r="G159" i="17"/>
  <c r="P161" i="17"/>
  <c r="P162" i="17"/>
  <c r="P163" i="17"/>
  <c r="P164" i="17"/>
  <c r="P165" i="17"/>
  <c r="P166" i="17"/>
  <c r="P167" i="17"/>
  <c r="G168" i="17"/>
  <c r="P168" i="17"/>
  <c r="P169" i="17"/>
  <c r="P173" i="17"/>
  <c r="P175" i="17"/>
  <c r="G176" i="17"/>
  <c r="J176" i="17"/>
  <c r="P177" i="17"/>
  <c r="P179" i="17"/>
  <c r="P180" i="17"/>
  <c r="G181" i="17"/>
  <c r="L181" i="17"/>
  <c r="P181" i="17" s="1"/>
  <c r="P182" i="17"/>
  <c r="P184" i="17"/>
  <c r="P185" i="17"/>
  <c r="F186" i="17"/>
  <c r="F251" i="17" s="1"/>
  <c r="P186" i="17"/>
  <c r="P187" i="17"/>
  <c r="P188" i="17"/>
  <c r="P189" i="17"/>
  <c r="P190" i="17"/>
  <c r="P191" i="17"/>
  <c r="P192" i="17"/>
  <c r="P193" i="17"/>
  <c r="P194" i="17"/>
  <c r="P195" i="17"/>
  <c r="L196" i="17"/>
  <c r="P196" i="17" s="1"/>
  <c r="P197" i="17"/>
  <c r="D198" i="17"/>
  <c r="L198" i="17"/>
  <c r="P198" i="17" s="1"/>
  <c r="P200" i="17"/>
  <c r="P202" i="17"/>
  <c r="P203" i="17"/>
  <c r="P204" i="17"/>
  <c r="F205" i="17"/>
  <c r="G205" i="17"/>
  <c r="F206" i="17"/>
  <c r="H206" i="17" s="1"/>
  <c r="G206" i="17"/>
  <c r="J206" i="17"/>
  <c r="P207" i="17"/>
  <c r="F208" i="17"/>
  <c r="H208" i="17" s="1"/>
  <c r="J208" i="17"/>
  <c r="P210" i="17"/>
  <c r="P212" i="17"/>
  <c r="P213" i="17"/>
  <c r="L215" i="17"/>
  <c r="P215" i="17" s="1"/>
  <c r="L216" i="17"/>
  <c r="P216" i="17"/>
  <c r="E218" i="17"/>
  <c r="L218" i="17"/>
  <c r="P218" i="17" s="1"/>
  <c r="E219" i="17"/>
  <c r="L219" i="17"/>
  <c r="E220" i="17"/>
  <c r="L220" i="17"/>
  <c r="P220" i="17" s="1"/>
  <c r="E221" i="17"/>
  <c r="L221" i="17"/>
  <c r="P221" i="17" s="1"/>
  <c r="P223" i="17"/>
  <c r="E224" i="17"/>
  <c r="D225" i="17"/>
  <c r="E225" i="17"/>
  <c r="D226" i="17"/>
  <c r="E226" i="17"/>
  <c r="J226" i="17" s="1"/>
  <c r="J227" i="17"/>
  <c r="P229" i="17"/>
  <c r="E230" i="17"/>
  <c r="P230" i="17"/>
  <c r="P231" i="17"/>
  <c r="P232" i="17"/>
  <c r="P234" i="17"/>
  <c r="P235" i="17"/>
  <c r="P237" i="17"/>
  <c r="P238" i="17"/>
  <c r="P239" i="17"/>
  <c r="P240" i="17"/>
  <c r="P242" i="17"/>
  <c r="E243" i="17"/>
  <c r="J244" i="17"/>
  <c r="J245" i="17"/>
  <c r="E249" i="17"/>
  <c r="F313" i="17"/>
  <c r="F314" i="17"/>
  <c r="F315" i="17"/>
  <c r="D329" i="17"/>
  <c r="N1" i="16"/>
  <c r="N2" i="16"/>
  <c r="F5" i="16"/>
  <c r="F44" i="16" s="1"/>
  <c r="F116" i="16" s="1"/>
  <c r="F188" i="16" s="1"/>
  <c r="F253" i="16" s="1"/>
  <c r="F7" i="16"/>
  <c r="F46" i="16" s="1"/>
  <c r="F118" i="16" s="1"/>
  <c r="F190" i="16" s="1"/>
  <c r="F255" i="16" s="1"/>
  <c r="P12" i="16"/>
  <c r="B13" i="16"/>
  <c r="B14" i="16" s="1"/>
  <c r="B15" i="16" s="1"/>
  <c r="B16" i="16" s="1"/>
  <c r="P13" i="16"/>
  <c r="G14" i="16"/>
  <c r="J14" i="16"/>
  <c r="L14" i="16" s="1"/>
  <c r="P14" i="16" s="1"/>
  <c r="G15" i="16"/>
  <c r="J15" i="16"/>
  <c r="P17" i="16"/>
  <c r="P19" i="16"/>
  <c r="P20" i="16"/>
  <c r="P21" i="16"/>
  <c r="P22" i="16"/>
  <c r="G23" i="16"/>
  <c r="J23" i="16"/>
  <c r="P24" i="16"/>
  <c r="P25" i="16"/>
  <c r="P28" i="16"/>
  <c r="P29" i="16"/>
  <c r="P31" i="16"/>
  <c r="P32" i="16"/>
  <c r="P34" i="16"/>
  <c r="L35" i="16"/>
  <c r="P35" i="16" s="1"/>
  <c r="P36" i="16"/>
  <c r="P37" i="16"/>
  <c r="P38" i="16"/>
  <c r="P39" i="16"/>
  <c r="P40" i="16"/>
  <c r="P41" i="16"/>
  <c r="F42" i="16"/>
  <c r="P42" i="16"/>
  <c r="F43" i="16"/>
  <c r="P43" i="16"/>
  <c r="P44" i="16"/>
  <c r="P45" i="16"/>
  <c r="P46" i="16"/>
  <c r="P47" i="16"/>
  <c r="P48" i="16"/>
  <c r="P49" i="16"/>
  <c r="B52" i="16"/>
  <c r="B124" i="16" s="1"/>
  <c r="P52" i="16"/>
  <c r="B53" i="16"/>
  <c r="P53" i="16"/>
  <c r="P54" i="16"/>
  <c r="P55" i="16"/>
  <c r="G56" i="16"/>
  <c r="J64" i="16" s="1"/>
  <c r="J356" i="16" s="1"/>
  <c r="G57" i="16"/>
  <c r="P58" i="16"/>
  <c r="P59" i="16"/>
  <c r="G60" i="16"/>
  <c r="G61" i="16"/>
  <c r="G62" i="16"/>
  <c r="P64" i="16"/>
  <c r="P65" i="16"/>
  <c r="P66" i="16"/>
  <c r="P67" i="16"/>
  <c r="D68" i="16"/>
  <c r="D79" i="16" s="1"/>
  <c r="G68" i="16"/>
  <c r="L68" i="16"/>
  <c r="P68" i="16" s="1"/>
  <c r="G69" i="16"/>
  <c r="P70" i="16"/>
  <c r="P71" i="16"/>
  <c r="D72" i="16"/>
  <c r="G72" i="16"/>
  <c r="G73" i="16"/>
  <c r="D74" i="16"/>
  <c r="G74" i="16"/>
  <c r="P76" i="16"/>
  <c r="P77" i="16"/>
  <c r="P78" i="16"/>
  <c r="P80" i="16"/>
  <c r="D81" i="16"/>
  <c r="D82" i="16"/>
  <c r="P84" i="16"/>
  <c r="P85" i="16"/>
  <c r="P86" i="16"/>
  <c r="G87" i="16"/>
  <c r="P87" i="16"/>
  <c r="G88" i="16"/>
  <c r="L88" i="16"/>
  <c r="G89" i="16"/>
  <c r="L89" i="16"/>
  <c r="P89" i="16" s="1"/>
  <c r="G90" i="16"/>
  <c r="L90" i="16"/>
  <c r="P90" i="16" s="1"/>
  <c r="G91" i="16"/>
  <c r="L91" i="16"/>
  <c r="P91" i="16" s="1"/>
  <c r="P93" i="16"/>
  <c r="G94" i="16"/>
  <c r="L94" i="16"/>
  <c r="P94" i="16" s="1"/>
  <c r="P95" i="16"/>
  <c r="E96" i="16"/>
  <c r="G96" i="16"/>
  <c r="L96" i="16" s="1"/>
  <c r="P96" i="16" s="1"/>
  <c r="P97" i="16"/>
  <c r="P98" i="16"/>
  <c r="E100" i="16"/>
  <c r="G100" i="16"/>
  <c r="E101" i="16"/>
  <c r="G101" i="16"/>
  <c r="E102" i="16"/>
  <c r="G102" i="16"/>
  <c r="G103" i="16"/>
  <c r="G104" i="16"/>
  <c r="G105" i="16"/>
  <c r="L105" i="16" s="1"/>
  <c r="P105" i="16" s="1"/>
  <c r="J105" i="16"/>
  <c r="G106" i="16"/>
  <c r="J106" i="16"/>
  <c r="P108" i="16"/>
  <c r="E109" i="16"/>
  <c r="J109" i="16"/>
  <c r="P110" i="16"/>
  <c r="P112" i="16"/>
  <c r="P113" i="16"/>
  <c r="F114" i="16"/>
  <c r="F186" i="16" s="1"/>
  <c r="F251" i="16" s="1"/>
  <c r="P114" i="16"/>
  <c r="F115" i="16"/>
  <c r="F187" i="16" s="1"/>
  <c r="F252" i="16" s="1"/>
  <c r="P115" i="16"/>
  <c r="P116" i="16"/>
  <c r="P117" i="16"/>
  <c r="P118" i="16"/>
  <c r="P119" i="16"/>
  <c r="P120" i="16"/>
  <c r="P121" i="16"/>
  <c r="E122" i="16"/>
  <c r="L122" i="16"/>
  <c r="E123" i="16"/>
  <c r="G123" i="16"/>
  <c r="I123" i="16"/>
  <c r="L123" i="16"/>
  <c r="P124" i="16"/>
  <c r="B125" i="16"/>
  <c r="P125" i="16"/>
  <c r="G126" i="16"/>
  <c r="P126" i="16"/>
  <c r="G127" i="16"/>
  <c r="P127" i="16"/>
  <c r="G128" i="16"/>
  <c r="P128" i="16"/>
  <c r="D129" i="16"/>
  <c r="G129" i="16"/>
  <c r="P129" i="16"/>
  <c r="P131" i="16"/>
  <c r="G132" i="16"/>
  <c r="P132" i="16"/>
  <c r="G133" i="16"/>
  <c r="G138" i="16" s="1"/>
  <c r="P133" i="16"/>
  <c r="G134" i="16"/>
  <c r="P134" i="16"/>
  <c r="G135" i="16"/>
  <c r="P135" i="16"/>
  <c r="G136" i="16"/>
  <c r="P136" i="16"/>
  <c r="G139" i="16"/>
  <c r="G140" i="16"/>
  <c r="E141" i="16"/>
  <c r="G141" i="16"/>
  <c r="J141" i="16"/>
  <c r="L141" i="16" s="1"/>
  <c r="P141" i="16" s="1"/>
  <c r="E142" i="16"/>
  <c r="G142" i="16"/>
  <c r="L142" i="16" s="1"/>
  <c r="P142" i="16" s="1"/>
  <c r="J142" i="16"/>
  <c r="P145" i="16"/>
  <c r="P146" i="16"/>
  <c r="D147" i="16"/>
  <c r="G147" i="16"/>
  <c r="G148" i="16"/>
  <c r="E149" i="16"/>
  <c r="G149" i="16"/>
  <c r="L149" i="16"/>
  <c r="P149" i="16" s="1"/>
  <c r="G150" i="16"/>
  <c r="P152" i="16"/>
  <c r="P153" i="16"/>
  <c r="P154" i="16"/>
  <c r="G155" i="16"/>
  <c r="P156" i="16"/>
  <c r="G157" i="16"/>
  <c r="G158" i="16"/>
  <c r="J158" i="16"/>
  <c r="G159" i="16"/>
  <c r="P161" i="16"/>
  <c r="P162" i="16"/>
  <c r="P163" i="16"/>
  <c r="P164" i="16"/>
  <c r="P165" i="16"/>
  <c r="P166" i="16"/>
  <c r="P167" i="16"/>
  <c r="G168" i="16"/>
  <c r="P168" i="16"/>
  <c r="P169" i="16"/>
  <c r="P173" i="16"/>
  <c r="P175" i="16"/>
  <c r="G176" i="16"/>
  <c r="J176" i="16"/>
  <c r="L176" i="16" s="1"/>
  <c r="P176" i="16" s="1"/>
  <c r="P177" i="16"/>
  <c r="P179" i="16"/>
  <c r="P180" i="16"/>
  <c r="G181" i="16"/>
  <c r="L181" i="16"/>
  <c r="P181" i="16" s="1"/>
  <c r="P182" i="16"/>
  <c r="P184" i="16"/>
  <c r="P185" i="16"/>
  <c r="P186" i="16"/>
  <c r="P187" i="16"/>
  <c r="P188" i="16"/>
  <c r="P189" i="16"/>
  <c r="P190" i="16"/>
  <c r="P191" i="16"/>
  <c r="P192" i="16"/>
  <c r="P193" i="16"/>
  <c r="P194" i="16"/>
  <c r="P195" i="16"/>
  <c r="L196" i="16"/>
  <c r="P196" i="16" s="1"/>
  <c r="D198" i="16"/>
  <c r="L198" i="16"/>
  <c r="P198" i="16" s="1"/>
  <c r="P200" i="16"/>
  <c r="P202" i="16"/>
  <c r="P203" i="16"/>
  <c r="P204" i="16"/>
  <c r="F205" i="16"/>
  <c r="G205" i="16"/>
  <c r="F206" i="16"/>
  <c r="H206" i="16" s="1"/>
  <c r="G206" i="16"/>
  <c r="J206" i="16"/>
  <c r="P207" i="16"/>
  <c r="F208" i="16"/>
  <c r="J208" i="16"/>
  <c r="P210" i="16"/>
  <c r="P212" i="16"/>
  <c r="P213" i="16"/>
  <c r="L215" i="16"/>
  <c r="P215" i="16" s="1"/>
  <c r="L216" i="16"/>
  <c r="P216" i="16" s="1"/>
  <c r="E218" i="16"/>
  <c r="L218" i="16"/>
  <c r="E219" i="16"/>
  <c r="L219" i="16"/>
  <c r="P219" i="16" s="1"/>
  <c r="E220" i="16"/>
  <c r="L220" i="16"/>
  <c r="P220" i="16" s="1"/>
  <c r="E221" i="16"/>
  <c r="L221" i="16"/>
  <c r="P221" i="16" s="1"/>
  <c r="P223" i="16"/>
  <c r="E224" i="16"/>
  <c r="D225" i="16"/>
  <c r="E225" i="16"/>
  <c r="D226" i="16"/>
  <c r="E226" i="16"/>
  <c r="J226" i="16" s="1"/>
  <c r="J227" i="16"/>
  <c r="P229" i="16"/>
  <c r="E230" i="16"/>
  <c r="D331" i="16" s="1"/>
  <c r="P230" i="16"/>
  <c r="P231" i="16"/>
  <c r="P232" i="16"/>
  <c r="P234" i="16"/>
  <c r="P235" i="16"/>
  <c r="P237" i="16"/>
  <c r="P238" i="16"/>
  <c r="P239" i="16"/>
  <c r="P240" i="16"/>
  <c r="L241" i="16"/>
  <c r="P241" i="16" s="1"/>
  <c r="P242" i="16"/>
  <c r="E243" i="16"/>
  <c r="J244" i="16"/>
  <c r="J245" i="16"/>
  <c r="E246" i="16"/>
  <c r="E247" i="16" s="1"/>
  <c r="G244" i="16" s="1"/>
  <c r="E249" i="16"/>
  <c r="F313" i="16"/>
  <c r="F314" i="16"/>
  <c r="F315" i="16"/>
  <c r="D326" i="16"/>
  <c r="D329" i="16"/>
  <c r="N1" i="15"/>
  <c r="N2" i="15"/>
  <c r="F5" i="15"/>
  <c r="F44" i="15" s="1"/>
  <c r="F116" i="15" s="1"/>
  <c r="F188" i="15" s="1"/>
  <c r="F253" i="15" s="1"/>
  <c r="F7" i="15"/>
  <c r="P12" i="15"/>
  <c r="B13" i="15"/>
  <c r="B14" i="15" s="1"/>
  <c r="B15" i="15" s="1"/>
  <c r="B16" i="15" s="1"/>
  <c r="E18" i="15" s="1"/>
  <c r="P13" i="15"/>
  <c r="G14" i="15"/>
  <c r="J14" i="15"/>
  <c r="G15" i="15"/>
  <c r="J15" i="15"/>
  <c r="P17" i="15"/>
  <c r="P19" i="15"/>
  <c r="P20" i="15"/>
  <c r="P21" i="15"/>
  <c r="P22" i="15"/>
  <c r="G23" i="15"/>
  <c r="J23" i="15"/>
  <c r="L23" i="15" s="1"/>
  <c r="P23" i="15" s="1"/>
  <c r="P24" i="15"/>
  <c r="P25" i="15"/>
  <c r="P28" i="15"/>
  <c r="P29" i="15"/>
  <c r="P31" i="15"/>
  <c r="P32" i="15"/>
  <c r="P34" i="15"/>
  <c r="L35" i="15"/>
  <c r="P35" i="15" s="1"/>
  <c r="P36" i="15"/>
  <c r="P37" i="15"/>
  <c r="P38" i="15"/>
  <c r="P39" i="15"/>
  <c r="P40" i="15"/>
  <c r="P41" i="15"/>
  <c r="F42" i="15"/>
  <c r="P42" i="15"/>
  <c r="F43" i="15"/>
  <c r="F115" i="15" s="1"/>
  <c r="F187" i="15" s="1"/>
  <c r="F252" i="15" s="1"/>
  <c r="P43" i="15"/>
  <c r="P44" i="15"/>
  <c r="P45" i="15"/>
  <c r="F46" i="15"/>
  <c r="F118" i="15" s="1"/>
  <c r="F190" i="15" s="1"/>
  <c r="F255" i="15" s="1"/>
  <c r="P46" i="15"/>
  <c r="P47" i="15"/>
  <c r="P48" i="15"/>
  <c r="P49" i="15"/>
  <c r="B52" i="15"/>
  <c r="P52" i="15"/>
  <c r="B53" i="15"/>
  <c r="P53" i="15"/>
  <c r="P54" i="15"/>
  <c r="P55" i="15"/>
  <c r="G56" i="15"/>
  <c r="J64" i="15" s="1"/>
  <c r="J356" i="15" s="1"/>
  <c r="G57" i="15"/>
  <c r="P58" i="15"/>
  <c r="P59" i="15"/>
  <c r="G60" i="15"/>
  <c r="G61" i="15"/>
  <c r="G62" i="15"/>
  <c r="P64" i="15"/>
  <c r="P65" i="15"/>
  <c r="P66" i="15"/>
  <c r="P67" i="15"/>
  <c r="D68" i="15"/>
  <c r="G68" i="15"/>
  <c r="J68" i="15" s="1"/>
  <c r="L68" i="15"/>
  <c r="P68" i="15" s="1"/>
  <c r="G69" i="15"/>
  <c r="P70" i="15"/>
  <c r="P71" i="15"/>
  <c r="D72" i="15"/>
  <c r="G72" i="15"/>
  <c r="G81" i="15" s="1"/>
  <c r="G73" i="15"/>
  <c r="D74" i="15"/>
  <c r="D82" i="15" s="1"/>
  <c r="G74" i="15"/>
  <c r="P76" i="15"/>
  <c r="P77" i="15"/>
  <c r="P78" i="15"/>
  <c r="D79" i="15"/>
  <c r="P80" i="15"/>
  <c r="D81" i="15"/>
  <c r="P84" i="15"/>
  <c r="P85" i="15"/>
  <c r="P86" i="15"/>
  <c r="G87" i="15"/>
  <c r="P87" i="15"/>
  <c r="G88" i="15"/>
  <c r="L88" i="15"/>
  <c r="P88" i="15" s="1"/>
  <c r="G89" i="15"/>
  <c r="L89" i="15"/>
  <c r="P89" i="15" s="1"/>
  <c r="G90" i="15"/>
  <c r="L90" i="15"/>
  <c r="P90" i="15" s="1"/>
  <c r="G91" i="15"/>
  <c r="L91" i="15"/>
  <c r="P91" i="15" s="1"/>
  <c r="P93" i="15"/>
  <c r="G94" i="15"/>
  <c r="L94" i="15"/>
  <c r="P94" i="15" s="1"/>
  <c r="P95" i="15"/>
  <c r="E96" i="15"/>
  <c r="G96" i="15"/>
  <c r="L96" i="15" s="1"/>
  <c r="P96" i="15" s="1"/>
  <c r="P97" i="15"/>
  <c r="P98" i="15"/>
  <c r="E100" i="15"/>
  <c r="G100" i="15"/>
  <c r="E101" i="15"/>
  <c r="G101" i="15"/>
  <c r="E102" i="15"/>
  <c r="G102" i="15"/>
  <c r="G103" i="15"/>
  <c r="G104" i="15"/>
  <c r="G105" i="15"/>
  <c r="L105" i="15" s="1"/>
  <c r="P105" i="15" s="1"/>
  <c r="J105" i="15"/>
  <c r="G106" i="15"/>
  <c r="J106" i="15"/>
  <c r="P108" i="15"/>
  <c r="E109" i="15"/>
  <c r="J109" i="15"/>
  <c r="P110" i="15"/>
  <c r="P112" i="15"/>
  <c r="P113" i="15"/>
  <c r="F114" i="15"/>
  <c r="P114" i="15"/>
  <c r="P115" i="15"/>
  <c r="P116" i="15"/>
  <c r="P117" i="15"/>
  <c r="P118" i="15"/>
  <c r="P119" i="15"/>
  <c r="P120" i="15"/>
  <c r="P121" i="15"/>
  <c r="E122" i="15"/>
  <c r="L122" i="15"/>
  <c r="E123" i="15"/>
  <c r="G123" i="15"/>
  <c r="I123" i="15"/>
  <c r="L123" i="15"/>
  <c r="B124" i="15"/>
  <c r="P124" i="15"/>
  <c r="B125" i="15"/>
  <c r="P125" i="15"/>
  <c r="G126" i="15"/>
  <c r="G130" i="15" s="1"/>
  <c r="P126" i="15"/>
  <c r="G127" i="15"/>
  <c r="P127" i="15"/>
  <c r="G128" i="15"/>
  <c r="P128" i="15"/>
  <c r="D129" i="15"/>
  <c r="G129" i="15"/>
  <c r="P129" i="15"/>
  <c r="P131" i="15"/>
  <c r="G132" i="15"/>
  <c r="P132" i="15"/>
  <c r="G133" i="15"/>
  <c r="P133" i="15"/>
  <c r="G134" i="15"/>
  <c r="P134" i="15"/>
  <c r="G135" i="15"/>
  <c r="P135" i="15"/>
  <c r="G136" i="15"/>
  <c r="P136" i="15"/>
  <c r="G138" i="15"/>
  <c r="G139" i="15"/>
  <c r="G140" i="15"/>
  <c r="E141" i="15"/>
  <c r="G141" i="15"/>
  <c r="J141" i="15"/>
  <c r="E142" i="15"/>
  <c r="G142" i="15"/>
  <c r="L142" i="15" s="1"/>
  <c r="P142" i="15" s="1"/>
  <c r="J142" i="15"/>
  <c r="P145" i="15"/>
  <c r="P146" i="15"/>
  <c r="D147" i="15"/>
  <c r="G147" i="15"/>
  <c r="G148" i="15"/>
  <c r="E149" i="15"/>
  <c r="G149" i="15"/>
  <c r="L149" i="15"/>
  <c r="P149" i="15" s="1"/>
  <c r="G150" i="15"/>
  <c r="P152" i="15"/>
  <c r="P153" i="15"/>
  <c r="P154" i="15"/>
  <c r="G155" i="15"/>
  <c r="P156" i="15"/>
  <c r="G157" i="15"/>
  <c r="G158" i="15"/>
  <c r="J158" i="15"/>
  <c r="G159" i="15"/>
  <c r="P161" i="15"/>
  <c r="P162" i="15"/>
  <c r="P163" i="15"/>
  <c r="P164" i="15"/>
  <c r="P165" i="15"/>
  <c r="P166" i="15"/>
  <c r="P167" i="15"/>
  <c r="G168" i="15"/>
  <c r="P168" i="15"/>
  <c r="P169" i="15"/>
  <c r="P173" i="15"/>
  <c r="P175" i="15"/>
  <c r="G176" i="15"/>
  <c r="J176" i="15"/>
  <c r="P177" i="15"/>
  <c r="P179" i="15"/>
  <c r="P180" i="15"/>
  <c r="G181" i="15"/>
  <c r="L181" i="15"/>
  <c r="P181" i="15" s="1"/>
  <c r="P182" i="15"/>
  <c r="P184" i="15"/>
  <c r="P185" i="15"/>
  <c r="F186" i="15"/>
  <c r="F251" i="15" s="1"/>
  <c r="P186" i="15"/>
  <c r="P187" i="15"/>
  <c r="P188" i="15"/>
  <c r="P189" i="15"/>
  <c r="P190" i="15"/>
  <c r="P191" i="15"/>
  <c r="P192" i="15"/>
  <c r="P193" i="15"/>
  <c r="P194" i="15"/>
  <c r="P195" i="15"/>
  <c r="P197" i="15"/>
  <c r="D198" i="15"/>
  <c r="L198" i="15"/>
  <c r="P198" i="15" s="1"/>
  <c r="P200" i="15"/>
  <c r="P202" i="15"/>
  <c r="P203" i="15"/>
  <c r="P204" i="15"/>
  <c r="F205" i="15"/>
  <c r="G205" i="15"/>
  <c r="F206" i="15"/>
  <c r="G206" i="15"/>
  <c r="J206" i="15"/>
  <c r="P207" i="15"/>
  <c r="F208" i="15"/>
  <c r="H208" i="15" s="1"/>
  <c r="J208" i="15"/>
  <c r="P210" i="15"/>
  <c r="P212" i="15"/>
  <c r="P213" i="15"/>
  <c r="L215" i="15"/>
  <c r="P215" i="15" s="1"/>
  <c r="L216" i="15"/>
  <c r="P216" i="15" s="1"/>
  <c r="E218" i="15"/>
  <c r="L218" i="15"/>
  <c r="P218" i="15" s="1"/>
  <c r="E219" i="15"/>
  <c r="L219" i="15"/>
  <c r="P219" i="15" s="1"/>
  <c r="E220" i="15"/>
  <c r="L220" i="15"/>
  <c r="P220" i="15" s="1"/>
  <c r="E221" i="15"/>
  <c r="L221" i="15"/>
  <c r="P221" i="15" s="1"/>
  <c r="P223" i="15"/>
  <c r="E224" i="15"/>
  <c r="D225" i="15"/>
  <c r="E225" i="15"/>
  <c r="D226" i="15"/>
  <c r="E226" i="15"/>
  <c r="J226" i="15" s="1"/>
  <c r="J227" i="15"/>
  <c r="P229" i="15"/>
  <c r="E230" i="15"/>
  <c r="D331" i="15" s="1"/>
  <c r="P230" i="15"/>
  <c r="P231" i="15"/>
  <c r="P232" i="15"/>
  <c r="P234" i="15"/>
  <c r="P235" i="15"/>
  <c r="P237" i="15"/>
  <c r="P238" i="15"/>
  <c r="P239" i="15"/>
  <c r="P240" i="15"/>
  <c r="L241" i="15"/>
  <c r="P242" i="15"/>
  <c r="E243" i="15"/>
  <c r="J244" i="15"/>
  <c r="J245" i="15"/>
  <c r="E249" i="15"/>
  <c r="F313" i="15"/>
  <c r="F314" i="15"/>
  <c r="F315" i="15"/>
  <c r="D326" i="15"/>
  <c r="D329" i="15"/>
  <c r="N1" i="14"/>
  <c r="N2" i="14"/>
  <c r="F5" i="14"/>
  <c r="F44" i="14" s="1"/>
  <c r="F116" i="14" s="1"/>
  <c r="F188" i="14" s="1"/>
  <c r="F253" i="14" s="1"/>
  <c r="F7" i="14"/>
  <c r="P12" i="14"/>
  <c r="B13" i="14"/>
  <c r="B14" i="14" s="1"/>
  <c r="B15" i="14" s="1"/>
  <c r="P13" i="14"/>
  <c r="G14" i="14"/>
  <c r="J14" i="14"/>
  <c r="G15" i="14"/>
  <c r="J15" i="14"/>
  <c r="B16" i="14"/>
  <c r="P17" i="14"/>
  <c r="P19" i="14"/>
  <c r="P20" i="14"/>
  <c r="P21" i="14"/>
  <c r="P22" i="14"/>
  <c r="G23" i="14"/>
  <c r="J23" i="14"/>
  <c r="P24" i="14"/>
  <c r="P25" i="14"/>
  <c r="P28" i="14"/>
  <c r="P29" i="14"/>
  <c r="P31" i="14"/>
  <c r="P32" i="14"/>
  <c r="P34" i="14"/>
  <c r="L35" i="14"/>
  <c r="P35" i="14" s="1"/>
  <c r="P36" i="14"/>
  <c r="P37" i="14"/>
  <c r="P38" i="14"/>
  <c r="P39" i="14"/>
  <c r="P40" i="14"/>
  <c r="P41" i="14"/>
  <c r="F42" i="14"/>
  <c r="F114" i="14" s="1"/>
  <c r="F186" i="14" s="1"/>
  <c r="F251" i="14" s="1"/>
  <c r="P42" i="14"/>
  <c r="F43" i="14"/>
  <c r="P43" i="14"/>
  <c r="P44" i="14"/>
  <c r="P45" i="14"/>
  <c r="F46" i="14"/>
  <c r="F118" i="14" s="1"/>
  <c r="F190" i="14" s="1"/>
  <c r="F255" i="14" s="1"/>
  <c r="P46" i="14"/>
  <c r="P47" i="14"/>
  <c r="P48" i="14"/>
  <c r="P49" i="14"/>
  <c r="B52" i="14"/>
  <c r="P52" i="14"/>
  <c r="B53" i="14"/>
  <c r="P53" i="14"/>
  <c r="P54" i="14"/>
  <c r="P55" i="14"/>
  <c r="G56" i="14"/>
  <c r="G57" i="14"/>
  <c r="P58" i="14"/>
  <c r="P59" i="14"/>
  <c r="G60" i="14"/>
  <c r="G61" i="14"/>
  <c r="G62" i="14"/>
  <c r="J64" i="14"/>
  <c r="P64" i="14"/>
  <c r="P65" i="14"/>
  <c r="P66" i="14"/>
  <c r="P67" i="14"/>
  <c r="D68" i="14"/>
  <c r="D79" i="14" s="1"/>
  <c r="G68" i="14"/>
  <c r="L68" i="14"/>
  <c r="P68" i="14" s="1"/>
  <c r="G69" i="14"/>
  <c r="P70" i="14"/>
  <c r="P71" i="14"/>
  <c r="D72" i="14"/>
  <c r="G72" i="14"/>
  <c r="G73" i="14"/>
  <c r="D74" i="14"/>
  <c r="G74" i="14"/>
  <c r="P76" i="14"/>
  <c r="P77" i="14"/>
  <c r="P78" i="14"/>
  <c r="P80" i="14"/>
  <c r="D81" i="14"/>
  <c r="D82" i="14"/>
  <c r="G82" i="14"/>
  <c r="P84" i="14"/>
  <c r="P85" i="14"/>
  <c r="P86" i="14"/>
  <c r="G87" i="14"/>
  <c r="P87" i="14"/>
  <c r="G88" i="14"/>
  <c r="L88" i="14"/>
  <c r="P88" i="14" s="1"/>
  <c r="G89" i="14"/>
  <c r="L89" i="14"/>
  <c r="P89" i="14" s="1"/>
  <c r="G90" i="14"/>
  <c r="L90" i="14"/>
  <c r="P90" i="14" s="1"/>
  <c r="G91" i="14"/>
  <c r="L91" i="14"/>
  <c r="P91" i="14" s="1"/>
  <c r="P93" i="14"/>
  <c r="G94" i="14"/>
  <c r="L94" i="14"/>
  <c r="P94" i="14" s="1"/>
  <c r="P95" i="14"/>
  <c r="E96" i="14"/>
  <c r="G96" i="14"/>
  <c r="L96" i="14" s="1"/>
  <c r="P96" i="14" s="1"/>
  <c r="P97" i="14"/>
  <c r="P98" i="14"/>
  <c r="E100" i="14"/>
  <c r="G100" i="14"/>
  <c r="E101" i="14"/>
  <c r="G101" i="14"/>
  <c r="E102" i="14"/>
  <c r="G102" i="14"/>
  <c r="G103" i="14"/>
  <c r="G104" i="14"/>
  <c r="G105" i="14"/>
  <c r="J105" i="14"/>
  <c r="L105" i="14"/>
  <c r="P105" i="14" s="1"/>
  <c r="G106" i="14"/>
  <c r="J106" i="14"/>
  <c r="P108" i="14"/>
  <c r="E109" i="14"/>
  <c r="J109" i="14"/>
  <c r="P110" i="14"/>
  <c r="P112" i="14"/>
  <c r="P113" i="14"/>
  <c r="P114" i="14"/>
  <c r="F115" i="14"/>
  <c r="P115" i="14"/>
  <c r="P116" i="14"/>
  <c r="P117" i="14"/>
  <c r="P118" i="14"/>
  <c r="P119" i="14"/>
  <c r="P120" i="14"/>
  <c r="P121" i="14"/>
  <c r="E122" i="14"/>
  <c r="L122" i="14"/>
  <c r="E123" i="14"/>
  <c r="G123" i="14"/>
  <c r="I123" i="14"/>
  <c r="L123" i="14"/>
  <c r="B124" i="14"/>
  <c r="P124" i="14"/>
  <c r="B125" i="14"/>
  <c r="P125" i="14"/>
  <c r="G126" i="14"/>
  <c r="P126" i="14"/>
  <c r="G127" i="14"/>
  <c r="P127" i="14"/>
  <c r="G128" i="14"/>
  <c r="P128" i="14"/>
  <c r="D129" i="14"/>
  <c r="G129" i="14"/>
  <c r="P129" i="14"/>
  <c r="P131" i="14"/>
  <c r="G132" i="14"/>
  <c r="P132" i="14"/>
  <c r="G133" i="14"/>
  <c r="P133" i="14"/>
  <c r="G134" i="14"/>
  <c r="P134" i="14"/>
  <c r="G135" i="14"/>
  <c r="P135" i="14"/>
  <c r="G136" i="14"/>
  <c r="P136" i="14"/>
  <c r="G139" i="14"/>
  <c r="G140" i="14"/>
  <c r="E141" i="14"/>
  <c r="G141" i="14"/>
  <c r="J141" i="14"/>
  <c r="E142" i="14"/>
  <c r="G142" i="14"/>
  <c r="L142" i="14" s="1"/>
  <c r="P142" i="14" s="1"/>
  <c r="J142" i="14"/>
  <c r="P145" i="14"/>
  <c r="P146" i="14"/>
  <c r="D147" i="14"/>
  <c r="G147" i="14"/>
  <c r="G151" i="14" s="1"/>
  <c r="G148" i="14"/>
  <c r="E149" i="14"/>
  <c r="G149" i="14"/>
  <c r="L149" i="14"/>
  <c r="P149" i="14" s="1"/>
  <c r="G150" i="14"/>
  <c r="P152" i="14"/>
  <c r="P153" i="14"/>
  <c r="P154" i="14"/>
  <c r="G155" i="14"/>
  <c r="P156" i="14"/>
  <c r="G157" i="14"/>
  <c r="G158" i="14"/>
  <c r="L158" i="14" s="1"/>
  <c r="P158" i="14" s="1"/>
  <c r="J158" i="14"/>
  <c r="G159" i="14"/>
  <c r="P161" i="14"/>
  <c r="P162" i="14"/>
  <c r="P163" i="14"/>
  <c r="P164" i="14"/>
  <c r="P165" i="14"/>
  <c r="P166" i="14"/>
  <c r="P167" i="14"/>
  <c r="G168" i="14"/>
  <c r="P168" i="14"/>
  <c r="P169" i="14"/>
  <c r="P173" i="14"/>
  <c r="P175" i="14"/>
  <c r="G176" i="14"/>
  <c r="J176" i="14"/>
  <c r="P177" i="14"/>
  <c r="P179" i="14"/>
  <c r="P180" i="14"/>
  <c r="G181" i="14"/>
  <c r="L181" i="14"/>
  <c r="P181" i="14" s="1"/>
  <c r="P182" i="14"/>
  <c r="P184" i="14"/>
  <c r="P185" i="14"/>
  <c r="P186" i="14"/>
  <c r="F187" i="14"/>
  <c r="P187" i="14"/>
  <c r="P188" i="14"/>
  <c r="P189" i="14"/>
  <c r="P190" i="14"/>
  <c r="P191" i="14"/>
  <c r="P192" i="14"/>
  <c r="P193" i="14"/>
  <c r="P194" i="14"/>
  <c r="P195" i="14"/>
  <c r="L196" i="14"/>
  <c r="P196" i="14" s="1"/>
  <c r="P197" i="14"/>
  <c r="D198" i="14"/>
  <c r="L198" i="14"/>
  <c r="P198" i="14" s="1"/>
  <c r="P200" i="14"/>
  <c r="P202" i="14"/>
  <c r="P203" i="14"/>
  <c r="P204" i="14"/>
  <c r="F205" i="14"/>
  <c r="H205" i="14" s="1"/>
  <c r="G205" i="14"/>
  <c r="F206" i="14"/>
  <c r="G206" i="14"/>
  <c r="G209" i="14" s="1"/>
  <c r="J206" i="14"/>
  <c r="P207" i="14"/>
  <c r="F208" i="14"/>
  <c r="J208" i="14"/>
  <c r="P210" i="14"/>
  <c r="P212" i="14"/>
  <c r="P213" i="14"/>
  <c r="L215" i="14"/>
  <c r="P215" i="14" s="1"/>
  <c r="L216" i="14"/>
  <c r="P216" i="14" s="1"/>
  <c r="E218" i="14"/>
  <c r="L218" i="14"/>
  <c r="P218" i="14" s="1"/>
  <c r="E219" i="14"/>
  <c r="L219" i="14"/>
  <c r="P219" i="14" s="1"/>
  <c r="E220" i="14"/>
  <c r="L220" i="14"/>
  <c r="P220" i="14"/>
  <c r="E221" i="14"/>
  <c r="L221" i="14"/>
  <c r="P221" i="14" s="1"/>
  <c r="P223" i="14"/>
  <c r="E224" i="14"/>
  <c r="D225" i="14"/>
  <c r="E225" i="14"/>
  <c r="J225" i="14" s="1"/>
  <c r="D226" i="14"/>
  <c r="E226" i="14"/>
  <c r="J226" i="14" s="1"/>
  <c r="J227" i="14"/>
  <c r="P229" i="14"/>
  <c r="E230" i="14"/>
  <c r="D331" i="14" s="1"/>
  <c r="P230" i="14"/>
  <c r="P231" i="14"/>
  <c r="P232" i="14"/>
  <c r="P234" i="14"/>
  <c r="P235" i="14"/>
  <c r="P237" i="14"/>
  <c r="P238" i="14"/>
  <c r="P239" i="14"/>
  <c r="P240" i="14"/>
  <c r="L241" i="14"/>
  <c r="E246" i="14" s="1"/>
  <c r="P241" i="14"/>
  <c r="P242" i="14"/>
  <c r="E243" i="14"/>
  <c r="J244" i="14"/>
  <c r="J245" i="14"/>
  <c r="G246" i="14"/>
  <c r="E247" i="14"/>
  <c r="G244" i="14" s="1"/>
  <c r="E249" i="14"/>
  <c r="F252" i="14"/>
  <c r="F313" i="14"/>
  <c r="F314" i="14"/>
  <c r="F315" i="14"/>
  <c r="D326" i="14"/>
  <c r="D329" i="14"/>
  <c r="J356" i="14"/>
  <c r="N1" i="13"/>
  <c r="N2" i="13"/>
  <c r="F5" i="13"/>
  <c r="F44" i="13" s="1"/>
  <c r="F116" i="13" s="1"/>
  <c r="F188" i="13" s="1"/>
  <c r="F253" i="13" s="1"/>
  <c r="F7" i="13"/>
  <c r="F46" i="13" s="1"/>
  <c r="F118" i="13" s="1"/>
  <c r="F190" i="13" s="1"/>
  <c r="F255" i="13" s="1"/>
  <c r="P12" i="13"/>
  <c r="B13" i="13"/>
  <c r="B14" i="13" s="1"/>
  <c r="B15" i="13" s="1"/>
  <c r="B16" i="13" s="1"/>
  <c r="P13" i="13"/>
  <c r="G14" i="13"/>
  <c r="J14" i="13"/>
  <c r="G15" i="13"/>
  <c r="J15" i="13"/>
  <c r="P17" i="13"/>
  <c r="P19" i="13"/>
  <c r="P20" i="13"/>
  <c r="P21" i="13"/>
  <c r="P22" i="13"/>
  <c r="G23" i="13"/>
  <c r="J23" i="13"/>
  <c r="P24" i="13"/>
  <c r="P25" i="13"/>
  <c r="P28" i="13"/>
  <c r="P29" i="13"/>
  <c r="P31" i="13"/>
  <c r="P32" i="13"/>
  <c r="P34" i="13"/>
  <c r="L35" i="13"/>
  <c r="P35" i="13" s="1"/>
  <c r="P36" i="13"/>
  <c r="P37" i="13"/>
  <c r="P38" i="13"/>
  <c r="P39" i="13"/>
  <c r="P40" i="13"/>
  <c r="P41" i="13"/>
  <c r="F42" i="13"/>
  <c r="P42" i="13"/>
  <c r="F43" i="13"/>
  <c r="F115" i="13" s="1"/>
  <c r="F187" i="13" s="1"/>
  <c r="F252" i="13" s="1"/>
  <c r="P43" i="13"/>
  <c r="P44" i="13"/>
  <c r="P45" i="13"/>
  <c r="P46" i="13"/>
  <c r="P47" i="13"/>
  <c r="P48" i="13"/>
  <c r="P49" i="13"/>
  <c r="B52" i="13"/>
  <c r="P52" i="13"/>
  <c r="B53" i="13"/>
  <c r="P53" i="13"/>
  <c r="P54" i="13"/>
  <c r="P55" i="13"/>
  <c r="G56" i="13"/>
  <c r="J64" i="13" s="1"/>
  <c r="J356" i="13" s="1"/>
  <c r="G57" i="13"/>
  <c r="P58" i="13"/>
  <c r="P59" i="13"/>
  <c r="G60" i="13"/>
  <c r="G61" i="13"/>
  <c r="G62" i="13"/>
  <c r="P64" i="13"/>
  <c r="P65" i="13"/>
  <c r="P66" i="13"/>
  <c r="P67" i="13"/>
  <c r="D68" i="13"/>
  <c r="G68" i="13"/>
  <c r="L68" i="13"/>
  <c r="P68" i="13" s="1"/>
  <c r="G69" i="13"/>
  <c r="P70" i="13"/>
  <c r="P71" i="13"/>
  <c r="D72" i="13"/>
  <c r="G72" i="13"/>
  <c r="G73" i="13"/>
  <c r="D74" i="13"/>
  <c r="D82" i="13" s="1"/>
  <c r="G74" i="13"/>
  <c r="G82" i="13" s="1"/>
  <c r="P76" i="13"/>
  <c r="P77" i="13"/>
  <c r="P78" i="13"/>
  <c r="D79" i="13"/>
  <c r="P80" i="13"/>
  <c r="D81" i="13"/>
  <c r="P84" i="13"/>
  <c r="P85" i="13"/>
  <c r="P86" i="13"/>
  <c r="G87" i="13"/>
  <c r="P87" i="13"/>
  <c r="G88" i="13"/>
  <c r="L88" i="13"/>
  <c r="P88" i="13" s="1"/>
  <c r="G89" i="13"/>
  <c r="L89" i="13"/>
  <c r="P89" i="13" s="1"/>
  <c r="G90" i="13"/>
  <c r="L90" i="13"/>
  <c r="P90" i="13" s="1"/>
  <c r="G91" i="13"/>
  <c r="L91" i="13"/>
  <c r="P91" i="13" s="1"/>
  <c r="P93" i="13"/>
  <c r="G94" i="13"/>
  <c r="L94" i="13"/>
  <c r="P94" i="13" s="1"/>
  <c r="P95" i="13"/>
  <c r="E96" i="13"/>
  <c r="G96" i="13"/>
  <c r="L96" i="13" s="1"/>
  <c r="P96" i="13" s="1"/>
  <c r="P97" i="13"/>
  <c r="P98" i="13"/>
  <c r="E100" i="13"/>
  <c r="G100" i="13"/>
  <c r="E101" i="13"/>
  <c r="G101" i="13"/>
  <c r="E102" i="13"/>
  <c r="G102" i="13"/>
  <c r="G103" i="13"/>
  <c r="G104" i="13"/>
  <c r="G105" i="13"/>
  <c r="L105" i="13" s="1"/>
  <c r="P105" i="13" s="1"/>
  <c r="J105" i="13"/>
  <c r="G106" i="13"/>
  <c r="J106" i="13"/>
  <c r="P108" i="13"/>
  <c r="E109" i="13"/>
  <c r="J109" i="13"/>
  <c r="P110" i="13"/>
  <c r="P112" i="13"/>
  <c r="P113" i="13"/>
  <c r="F114" i="13"/>
  <c r="P114" i="13"/>
  <c r="P115" i="13"/>
  <c r="P116" i="13"/>
  <c r="P117" i="13"/>
  <c r="P118" i="13"/>
  <c r="P119" i="13"/>
  <c r="P120" i="13"/>
  <c r="P121" i="13"/>
  <c r="E122" i="13"/>
  <c r="L122" i="13"/>
  <c r="E123" i="13"/>
  <c r="G123" i="13"/>
  <c r="I123" i="13"/>
  <c r="L123" i="13"/>
  <c r="B124" i="13"/>
  <c r="P124" i="13"/>
  <c r="B125" i="13"/>
  <c r="P125" i="13"/>
  <c r="G126" i="13"/>
  <c r="P126" i="13"/>
  <c r="G127" i="13"/>
  <c r="P127" i="13"/>
  <c r="G128" i="13"/>
  <c r="P128" i="13"/>
  <c r="D129" i="13"/>
  <c r="G129" i="13"/>
  <c r="P129" i="13"/>
  <c r="P131" i="13"/>
  <c r="G132" i="13"/>
  <c r="P132" i="13"/>
  <c r="G133" i="13"/>
  <c r="G138" i="13" s="1"/>
  <c r="P133" i="13"/>
  <c r="G134" i="13"/>
  <c r="P134" i="13"/>
  <c r="G135" i="13"/>
  <c r="P135" i="13"/>
  <c r="G136" i="13"/>
  <c r="P136" i="13"/>
  <c r="G139" i="13"/>
  <c r="G140" i="13"/>
  <c r="E141" i="13"/>
  <c r="G141" i="13"/>
  <c r="J141" i="13"/>
  <c r="E142" i="13"/>
  <c r="G142" i="13"/>
  <c r="L142" i="13" s="1"/>
  <c r="P142" i="13" s="1"/>
  <c r="J142" i="13"/>
  <c r="P145" i="13"/>
  <c r="P146" i="13"/>
  <c r="D147" i="13"/>
  <c r="G147" i="13"/>
  <c r="G148" i="13"/>
  <c r="E149" i="13"/>
  <c r="G149" i="13"/>
  <c r="G150" i="13"/>
  <c r="P152" i="13"/>
  <c r="P153" i="13"/>
  <c r="P154" i="13"/>
  <c r="G155" i="13"/>
  <c r="P156" i="13"/>
  <c r="G157" i="13"/>
  <c r="G158" i="13"/>
  <c r="J158" i="13"/>
  <c r="G159" i="13"/>
  <c r="P161" i="13"/>
  <c r="P162" i="13"/>
  <c r="P163" i="13"/>
  <c r="P164" i="13"/>
  <c r="P165" i="13"/>
  <c r="P166" i="13"/>
  <c r="P167" i="13"/>
  <c r="G168" i="13"/>
  <c r="P168" i="13"/>
  <c r="P169" i="13"/>
  <c r="P173" i="13"/>
  <c r="P175" i="13"/>
  <c r="G176" i="13"/>
  <c r="J176" i="13"/>
  <c r="P177" i="13"/>
  <c r="P179" i="13"/>
  <c r="P180" i="13"/>
  <c r="G181" i="13"/>
  <c r="L181" i="13"/>
  <c r="P181" i="13"/>
  <c r="P182" i="13"/>
  <c r="P184" i="13"/>
  <c r="P185" i="13"/>
  <c r="F186" i="13"/>
  <c r="F251" i="13" s="1"/>
  <c r="P186" i="13"/>
  <c r="P187" i="13"/>
  <c r="P188" i="13"/>
  <c r="P189" i="13"/>
  <c r="P190" i="13"/>
  <c r="P191" i="13"/>
  <c r="P192" i="13"/>
  <c r="P193" i="13"/>
  <c r="P194" i="13"/>
  <c r="P195" i="13"/>
  <c r="L196" i="13"/>
  <c r="P197" i="13"/>
  <c r="D198" i="13"/>
  <c r="L198" i="13"/>
  <c r="P198" i="13" s="1"/>
  <c r="P200" i="13"/>
  <c r="P202" i="13"/>
  <c r="P203" i="13"/>
  <c r="P204" i="13"/>
  <c r="F205" i="13"/>
  <c r="G205" i="13"/>
  <c r="F206" i="13"/>
  <c r="G206" i="13"/>
  <c r="J206" i="13"/>
  <c r="P207" i="13"/>
  <c r="F208" i="13"/>
  <c r="J208" i="13"/>
  <c r="P210" i="13"/>
  <c r="P212" i="13"/>
  <c r="P213" i="13"/>
  <c r="L215" i="13"/>
  <c r="P215" i="13" s="1"/>
  <c r="L216" i="13"/>
  <c r="P216" i="13" s="1"/>
  <c r="E218" i="13"/>
  <c r="L218" i="13"/>
  <c r="P218" i="13" s="1"/>
  <c r="E219" i="13"/>
  <c r="L219" i="13"/>
  <c r="P219" i="13" s="1"/>
  <c r="E220" i="13"/>
  <c r="L220" i="13"/>
  <c r="P220" i="13" s="1"/>
  <c r="E221" i="13"/>
  <c r="L221" i="13"/>
  <c r="P221" i="13" s="1"/>
  <c r="P223" i="13"/>
  <c r="E224" i="13"/>
  <c r="D225" i="13"/>
  <c r="E225" i="13"/>
  <c r="D226" i="13"/>
  <c r="E226" i="13"/>
  <c r="J226" i="13" s="1"/>
  <c r="J227" i="13"/>
  <c r="P229" i="13"/>
  <c r="E230" i="13"/>
  <c r="D331" i="13" s="1"/>
  <c r="P230" i="13"/>
  <c r="P231" i="13"/>
  <c r="P232" i="13"/>
  <c r="P234" i="13"/>
  <c r="P235" i="13"/>
  <c r="P237" i="13"/>
  <c r="P238" i="13"/>
  <c r="P239" i="13"/>
  <c r="P240" i="13"/>
  <c r="L241" i="13"/>
  <c r="P241" i="13"/>
  <c r="P242" i="13"/>
  <c r="E243" i="13"/>
  <c r="J244" i="13"/>
  <c r="J245" i="13"/>
  <c r="E246" i="13"/>
  <c r="E247" i="13"/>
  <c r="G245" i="13" s="1"/>
  <c r="E249" i="13"/>
  <c r="F313" i="13"/>
  <c r="F314" i="13"/>
  <c r="F315" i="13"/>
  <c r="D326" i="13"/>
  <c r="D329" i="13"/>
  <c r="I846" i="11"/>
  <c r="C836" i="11"/>
  <c r="I838" i="11" s="1"/>
  <c r="C837" i="11"/>
  <c r="C838" i="11"/>
  <c r="C839" i="11"/>
  <c r="C840" i="11"/>
  <c r="C841" i="11"/>
  <c r="C842" i="11"/>
  <c r="C843" i="11"/>
  <c r="C844" i="11"/>
  <c r="C835" i="11"/>
  <c r="L158" i="13" l="1"/>
  <c r="P158" i="13" s="1"/>
  <c r="L106" i="13"/>
  <c r="P106" i="13" s="1"/>
  <c r="J68" i="13"/>
  <c r="J69" i="13" s="1"/>
  <c r="L69" i="13" s="1"/>
  <c r="P69" i="13" s="1"/>
  <c r="G163" i="13"/>
  <c r="G167" i="13" s="1"/>
  <c r="G171" i="13" s="1"/>
  <c r="J225" i="13"/>
  <c r="G209" i="13"/>
  <c r="L23" i="14"/>
  <c r="P23" i="14" s="1"/>
  <c r="J359" i="18"/>
  <c r="P201" i="18"/>
  <c r="L141" i="14"/>
  <c r="P141" i="14" s="1"/>
  <c r="L16" i="18"/>
  <c r="P16" i="18" s="1"/>
  <c r="J360" i="18"/>
  <c r="J69" i="18"/>
  <c r="L69" i="18" s="1"/>
  <c r="E246" i="18"/>
  <c r="E247" i="18" s="1"/>
  <c r="P241" i="18"/>
  <c r="G144" i="18"/>
  <c r="G99" i="18"/>
  <c r="G107" i="18" s="1"/>
  <c r="G111" i="18" s="1"/>
  <c r="B27" i="18"/>
  <c r="B29" i="18" s="1"/>
  <c r="D29" i="18"/>
  <c r="E27" i="18"/>
  <c r="P222" i="18"/>
  <c r="E227" i="18"/>
  <c r="E228" i="18" s="1"/>
  <c r="L56" i="18"/>
  <c r="P199" i="18"/>
  <c r="F209" i="16"/>
  <c r="L106" i="16"/>
  <c r="P106" i="16" s="1"/>
  <c r="G130" i="17"/>
  <c r="L196" i="15"/>
  <c r="L199" i="15" s="1"/>
  <c r="L141" i="15"/>
  <c r="P141" i="15" s="1"/>
  <c r="F209" i="14"/>
  <c r="G79" i="16"/>
  <c r="G209" i="17"/>
  <c r="L149" i="17"/>
  <c r="P149" i="17" s="1"/>
  <c r="G16" i="14"/>
  <c r="L206" i="15"/>
  <c r="P206" i="15" s="1"/>
  <c r="L158" i="15"/>
  <c r="P158" i="15" s="1"/>
  <c r="L23" i="16"/>
  <c r="P23" i="16" s="1"/>
  <c r="L206" i="16"/>
  <c r="P206" i="16" s="1"/>
  <c r="G16" i="13"/>
  <c r="H205" i="13"/>
  <c r="L199" i="13"/>
  <c r="P199" i="13" s="1"/>
  <c r="L141" i="13"/>
  <c r="P141" i="13" s="1"/>
  <c r="G137" i="13"/>
  <c r="G143" i="13" s="1"/>
  <c r="G130" i="13"/>
  <c r="G99" i="13" s="1"/>
  <c r="G107" i="13" s="1"/>
  <c r="L176" i="14"/>
  <c r="P176" i="14" s="1"/>
  <c r="G75" i="14"/>
  <c r="J225" i="15"/>
  <c r="L106" i="15"/>
  <c r="P106" i="15" s="1"/>
  <c r="G209" i="16"/>
  <c r="L199" i="16"/>
  <c r="J69" i="15"/>
  <c r="L69" i="15" s="1"/>
  <c r="P69" i="15" s="1"/>
  <c r="J360" i="15"/>
  <c r="L208" i="13"/>
  <c r="P208" i="13" s="1"/>
  <c r="G160" i="13"/>
  <c r="L23" i="13"/>
  <c r="P23" i="13" s="1"/>
  <c r="L15" i="13"/>
  <c r="P15" i="13" s="1"/>
  <c r="G92" i="14"/>
  <c r="J68" i="14"/>
  <c r="P197" i="16"/>
  <c r="L199" i="17"/>
  <c r="L201" i="17" s="1"/>
  <c r="D331" i="17"/>
  <c r="L14" i="13"/>
  <c r="P14" i="13" s="1"/>
  <c r="G163" i="14"/>
  <c r="G167" i="14" s="1"/>
  <c r="G171" i="14" s="1"/>
  <c r="G130" i="14"/>
  <c r="L106" i="14"/>
  <c r="P106" i="14" s="1"/>
  <c r="L15" i="14"/>
  <c r="G163" i="15"/>
  <c r="G167" i="15" s="1"/>
  <c r="G171" i="15" s="1"/>
  <c r="G137" i="15"/>
  <c r="G143" i="15" s="1"/>
  <c r="G82" i="15"/>
  <c r="G163" i="16"/>
  <c r="G167" i="16" s="1"/>
  <c r="G171" i="16" s="1"/>
  <c r="G82" i="16"/>
  <c r="L206" i="17"/>
  <c r="P206" i="17" s="1"/>
  <c r="L206" i="13"/>
  <c r="P206" i="13" s="1"/>
  <c r="G75" i="13"/>
  <c r="G81" i="13"/>
  <c r="L14" i="14"/>
  <c r="P14" i="14" s="1"/>
  <c r="G209" i="15"/>
  <c r="L14" i="15"/>
  <c r="P14" i="15" s="1"/>
  <c r="G163" i="17"/>
  <c r="G167" i="17" s="1"/>
  <c r="G171" i="17" s="1"/>
  <c r="L141" i="17"/>
  <c r="P141" i="17" s="1"/>
  <c r="L106" i="17"/>
  <c r="P106" i="17" s="1"/>
  <c r="G151" i="13"/>
  <c r="G160" i="14"/>
  <c r="L208" i="16"/>
  <c r="P208" i="16" s="1"/>
  <c r="G137" i="16"/>
  <c r="G143" i="16" s="1"/>
  <c r="L176" i="13"/>
  <c r="P176" i="13" s="1"/>
  <c r="L149" i="13"/>
  <c r="P149" i="13" s="1"/>
  <c r="G92" i="13"/>
  <c r="L222" i="14"/>
  <c r="J68" i="16"/>
  <c r="L176" i="17"/>
  <c r="P176" i="17" s="1"/>
  <c r="G151" i="17"/>
  <c r="L23" i="17"/>
  <c r="P23" i="17" s="1"/>
  <c r="L208" i="15"/>
  <c r="P208" i="15" s="1"/>
  <c r="H208" i="16"/>
  <c r="J225" i="17"/>
  <c r="L208" i="17"/>
  <c r="P208" i="17" s="1"/>
  <c r="G99" i="14"/>
  <c r="G107" i="14" s="1"/>
  <c r="B18" i="13"/>
  <c r="B23" i="13" s="1"/>
  <c r="B25" i="13" s="1"/>
  <c r="B26" i="13" s="1"/>
  <c r="E18" i="13"/>
  <c r="L56" i="13"/>
  <c r="L201" i="13"/>
  <c r="L16" i="13"/>
  <c r="P16" i="13" s="1"/>
  <c r="G144" i="13"/>
  <c r="J360" i="13"/>
  <c r="H208" i="13"/>
  <c r="H206" i="13"/>
  <c r="P196" i="13"/>
  <c r="G63" i="13"/>
  <c r="H245" i="14"/>
  <c r="L246" i="14"/>
  <c r="P246" i="14" s="1"/>
  <c r="H244" i="14"/>
  <c r="H205" i="15"/>
  <c r="F209" i="15"/>
  <c r="F209" i="13"/>
  <c r="H206" i="14"/>
  <c r="L206" i="14"/>
  <c r="P206" i="14" s="1"/>
  <c r="G81" i="14"/>
  <c r="G63" i="14"/>
  <c r="B18" i="14"/>
  <c r="B23" i="14" s="1"/>
  <c r="B25" i="14" s="1"/>
  <c r="B26" i="14" s="1"/>
  <c r="E18" i="14"/>
  <c r="L222" i="13"/>
  <c r="G244" i="13"/>
  <c r="G245" i="14"/>
  <c r="L245" i="14" s="1"/>
  <c r="P245" i="14" s="1"/>
  <c r="H208" i="14"/>
  <c r="L208" i="14"/>
  <c r="P208" i="14" s="1"/>
  <c r="G138" i="14"/>
  <c r="G137" i="14"/>
  <c r="L56" i="16"/>
  <c r="L201" i="16"/>
  <c r="P199" i="16"/>
  <c r="L92" i="13"/>
  <c r="P92" i="13" s="1"/>
  <c r="G92" i="15"/>
  <c r="G246" i="13"/>
  <c r="G79" i="13"/>
  <c r="H246" i="14"/>
  <c r="L244" i="14"/>
  <c r="P241" i="15"/>
  <c r="E246" i="15"/>
  <c r="E247" i="15" s="1"/>
  <c r="L56" i="15"/>
  <c r="P199" i="15"/>
  <c r="L176" i="15"/>
  <c r="P176" i="15" s="1"/>
  <c r="G144" i="15"/>
  <c r="G99" i="15"/>
  <c r="G107" i="15" s="1"/>
  <c r="G160" i="15"/>
  <c r="G75" i="16"/>
  <c r="L199" i="14"/>
  <c r="L92" i="14"/>
  <c r="P92" i="14" s="1"/>
  <c r="H206" i="15"/>
  <c r="G151" i="15"/>
  <c r="G75" i="15"/>
  <c r="G79" i="14"/>
  <c r="L15" i="16"/>
  <c r="G16" i="16"/>
  <c r="P219" i="17"/>
  <c r="L222" i="17"/>
  <c r="L201" i="15"/>
  <c r="P196" i="15"/>
  <c r="L158" i="16"/>
  <c r="P158" i="16" s="1"/>
  <c r="P15" i="17"/>
  <c r="L16" i="17"/>
  <c r="P16" i="17" s="1"/>
  <c r="G16" i="15"/>
  <c r="G160" i="16"/>
  <c r="L222" i="15"/>
  <c r="B18" i="15"/>
  <c r="B23" i="15" s="1"/>
  <c r="B25" i="15" s="1"/>
  <c r="B26" i="15" s="1"/>
  <c r="P218" i="16"/>
  <c r="L222" i="16"/>
  <c r="G109" i="17"/>
  <c r="L109" i="17" s="1"/>
  <c r="P109" i="17" s="1"/>
  <c r="B18" i="17"/>
  <c r="B23" i="17" s="1"/>
  <c r="B25" i="17" s="1"/>
  <c r="B26" i="17" s="1"/>
  <c r="E18" i="17"/>
  <c r="G63" i="15"/>
  <c r="G245" i="16"/>
  <c r="G246" i="16"/>
  <c r="G151" i="16"/>
  <c r="G130" i="16"/>
  <c r="G63" i="16"/>
  <c r="G81" i="16"/>
  <c r="G99" i="17"/>
  <c r="G107" i="17" s="1"/>
  <c r="L92" i="15"/>
  <c r="P92" i="15" s="1"/>
  <c r="B18" i="16"/>
  <c r="B23" i="16" s="1"/>
  <c r="B25" i="16" s="1"/>
  <c r="B26" i="16" s="1"/>
  <c r="E18" i="16"/>
  <c r="G79" i="15"/>
  <c r="G83" i="15" s="1"/>
  <c r="L15" i="15"/>
  <c r="J225" i="16"/>
  <c r="H205" i="16"/>
  <c r="G92" i="16"/>
  <c r="P199" i="17"/>
  <c r="L56" i="17"/>
  <c r="L241" i="17"/>
  <c r="G92" i="17"/>
  <c r="G79" i="17"/>
  <c r="H205" i="17"/>
  <c r="H209" i="17" s="1"/>
  <c r="F209" i="17"/>
  <c r="G160" i="17"/>
  <c r="P88" i="16"/>
  <c r="L92" i="16"/>
  <c r="P92" i="16" s="1"/>
  <c r="G137" i="17"/>
  <c r="G143" i="17" s="1"/>
  <c r="G144" i="17" s="1"/>
  <c r="G75" i="17"/>
  <c r="J68" i="17"/>
  <c r="G81" i="17"/>
  <c r="L92" i="17"/>
  <c r="P92" i="17" s="1"/>
  <c r="G83" i="13" l="1"/>
  <c r="P56" i="18"/>
  <c r="B30" i="18"/>
  <c r="B32" i="18" s="1"/>
  <c r="B33" i="18" s="1"/>
  <c r="D32" i="18"/>
  <c r="G246" i="18"/>
  <c r="G245" i="18"/>
  <c r="G244" i="18"/>
  <c r="P69" i="18"/>
  <c r="G227" i="18"/>
  <c r="G226" i="18"/>
  <c r="G225" i="18"/>
  <c r="J139" i="18"/>
  <c r="L139" i="18" s="1"/>
  <c r="P139" i="18" s="1"/>
  <c r="J130" i="18"/>
  <c r="L130" i="18" s="1"/>
  <c r="J147" i="18"/>
  <c r="L147" i="18" s="1"/>
  <c r="J205" i="18"/>
  <c r="L205" i="18" s="1"/>
  <c r="J57" i="18"/>
  <c r="L57" i="18" s="1"/>
  <c r="P57" i="18" s="1"/>
  <c r="J100" i="18"/>
  <c r="L100" i="18" s="1"/>
  <c r="P100" i="18" s="1"/>
  <c r="H209" i="14"/>
  <c r="H209" i="13"/>
  <c r="H209" i="16"/>
  <c r="G83" i="16"/>
  <c r="L16" i="14"/>
  <c r="P16" i="14" s="1"/>
  <c r="P201" i="17"/>
  <c r="J359" i="17"/>
  <c r="J69" i="14"/>
  <c r="L69" i="14" s="1"/>
  <c r="P69" i="14" s="1"/>
  <c r="J360" i="14"/>
  <c r="J69" i="16"/>
  <c r="L69" i="16" s="1"/>
  <c r="P69" i="16" s="1"/>
  <c r="J360" i="16"/>
  <c r="P15" i="14"/>
  <c r="G83" i="14"/>
  <c r="P222" i="14"/>
  <c r="E227" i="14"/>
  <c r="E228" i="14" s="1"/>
  <c r="G83" i="17"/>
  <c r="G111" i="17" s="1"/>
  <c r="J69" i="17"/>
  <c r="L69" i="17" s="1"/>
  <c r="J360" i="17"/>
  <c r="G109" i="16"/>
  <c r="L109" i="16" s="1"/>
  <c r="P109" i="16" s="1"/>
  <c r="E227" i="17"/>
  <c r="E228" i="17" s="1"/>
  <c r="P222" i="17"/>
  <c r="J359" i="16"/>
  <c r="P201" i="16"/>
  <c r="G109" i="14"/>
  <c r="L109" i="14" s="1"/>
  <c r="P109" i="14" s="1"/>
  <c r="G109" i="13"/>
  <c r="L109" i="13" s="1"/>
  <c r="P109" i="13" s="1"/>
  <c r="G99" i="16"/>
  <c r="G107" i="16" s="1"/>
  <c r="G144" i="16"/>
  <c r="L247" i="14"/>
  <c r="P247" i="14" s="1"/>
  <c r="P244" i="14"/>
  <c r="P56" i="16"/>
  <c r="P199" i="14"/>
  <c r="L56" i="14"/>
  <c r="L201" i="14"/>
  <c r="P15" i="15"/>
  <c r="L16" i="15"/>
  <c r="P16" i="15" s="1"/>
  <c r="B27" i="16"/>
  <c r="B29" i="16" s="1"/>
  <c r="D29" i="16"/>
  <c r="E27" i="16"/>
  <c r="H244" i="16"/>
  <c r="L245" i="16"/>
  <c r="P245" i="16" s="1"/>
  <c r="L244" i="16"/>
  <c r="H245" i="16"/>
  <c r="H246" i="16"/>
  <c r="L246" i="16"/>
  <c r="P246" i="16" s="1"/>
  <c r="P222" i="16"/>
  <c r="E227" i="16"/>
  <c r="E228" i="16" s="1"/>
  <c r="P15" i="16"/>
  <c r="L16" i="16"/>
  <c r="P16" i="16" s="1"/>
  <c r="H209" i="15"/>
  <c r="D29" i="13"/>
  <c r="B27" i="13"/>
  <c r="B29" i="13" s="1"/>
  <c r="E27" i="13"/>
  <c r="P241" i="17"/>
  <c r="E246" i="17"/>
  <c r="E247" i="17" s="1"/>
  <c r="P56" i="15"/>
  <c r="H245" i="13"/>
  <c r="H246" i="13"/>
  <c r="L246" i="13"/>
  <c r="P246" i="13" s="1"/>
  <c r="H244" i="13"/>
  <c r="L245" i="13"/>
  <c r="P245" i="13" s="1"/>
  <c r="L244" i="13"/>
  <c r="G143" i="14"/>
  <c r="G144" i="14" s="1"/>
  <c r="E227" i="13"/>
  <c r="E228" i="13" s="1"/>
  <c r="P222" i="13"/>
  <c r="P56" i="17"/>
  <c r="G109" i="15"/>
  <c r="L109" i="15" s="1"/>
  <c r="P109" i="15" s="1"/>
  <c r="D29" i="15"/>
  <c r="E27" i="15"/>
  <c r="B27" i="15"/>
  <c r="B29" i="15" s="1"/>
  <c r="G245" i="15"/>
  <c r="G246" i="15"/>
  <c r="G244" i="15"/>
  <c r="J359" i="13"/>
  <c r="P201" i="13"/>
  <c r="P222" i="15"/>
  <c r="E227" i="15"/>
  <c r="E228" i="15" s="1"/>
  <c r="E27" i="14"/>
  <c r="B27" i="14"/>
  <c r="B29" i="14" s="1"/>
  <c r="D29" i="14"/>
  <c r="P56" i="13"/>
  <c r="B27" i="17"/>
  <c r="B29" i="17" s="1"/>
  <c r="E27" i="17"/>
  <c r="D29" i="17"/>
  <c r="P201" i="15"/>
  <c r="J359" i="15"/>
  <c r="L79" i="18" l="1"/>
  <c r="P147" i="18"/>
  <c r="P79" i="18"/>
  <c r="L246" i="18"/>
  <c r="P246" i="18" s="1"/>
  <c r="L244" i="18"/>
  <c r="L245" i="18"/>
  <c r="P245" i="18" s="1"/>
  <c r="H244" i="18"/>
  <c r="H245" i="18"/>
  <c r="H246" i="18"/>
  <c r="L99" i="18"/>
  <c r="P130" i="18"/>
  <c r="B35" i="18"/>
  <c r="B20" i="18"/>
  <c r="L227" i="18"/>
  <c r="P227" i="18" s="1"/>
  <c r="H227" i="18"/>
  <c r="H226" i="18"/>
  <c r="L226" i="18" s="1"/>
  <c r="P226" i="18" s="1"/>
  <c r="H225" i="18"/>
  <c r="L225" i="18" s="1"/>
  <c r="P205" i="18"/>
  <c r="L209" i="18"/>
  <c r="G225" i="14"/>
  <c r="G227" i="14"/>
  <c r="G226" i="14"/>
  <c r="J139" i="17"/>
  <c r="L139" i="17" s="1"/>
  <c r="P139" i="17" s="1"/>
  <c r="J57" i="17"/>
  <c r="L57" i="17" s="1"/>
  <c r="J130" i="17"/>
  <c r="L130" i="17" s="1"/>
  <c r="J100" i="17"/>
  <c r="L100" i="17" s="1"/>
  <c r="P100" i="17" s="1"/>
  <c r="J205" i="17"/>
  <c r="L205" i="17" s="1"/>
  <c r="J147" i="17"/>
  <c r="L147" i="17" s="1"/>
  <c r="P147" i="17" s="1"/>
  <c r="G111" i="13"/>
  <c r="P56" i="14"/>
  <c r="D32" i="17"/>
  <c r="B30" i="17"/>
  <c r="B32" i="17" s="1"/>
  <c r="B33" i="17" s="1"/>
  <c r="P244" i="13"/>
  <c r="L247" i="13"/>
  <c r="P247" i="13" s="1"/>
  <c r="H244" i="15"/>
  <c r="L245" i="15"/>
  <c r="P245" i="15" s="1"/>
  <c r="L244" i="15"/>
  <c r="H246" i="15"/>
  <c r="L246" i="15"/>
  <c r="P246" i="15" s="1"/>
  <c r="H245" i="15"/>
  <c r="G225" i="15"/>
  <c r="G226" i="15"/>
  <c r="G227" i="15"/>
  <c r="D32" i="15"/>
  <c r="B30" i="15"/>
  <c r="B32" i="15" s="1"/>
  <c r="B33" i="15" s="1"/>
  <c r="P244" i="16"/>
  <c r="L247" i="16"/>
  <c r="P247" i="16" s="1"/>
  <c r="J57" i="16"/>
  <c r="L57" i="16" s="1"/>
  <c r="J130" i="16"/>
  <c r="L130" i="16" s="1"/>
  <c r="J139" i="16"/>
  <c r="L139" i="16" s="1"/>
  <c r="P139" i="16" s="1"/>
  <c r="J100" i="16"/>
  <c r="L100" i="16" s="1"/>
  <c r="P100" i="16" s="1"/>
  <c r="J205" i="16"/>
  <c r="L205" i="16" s="1"/>
  <c r="J147" i="16"/>
  <c r="L147" i="16" s="1"/>
  <c r="J57" i="15"/>
  <c r="L57" i="15" s="1"/>
  <c r="J100" i="15"/>
  <c r="L100" i="15" s="1"/>
  <c r="P100" i="15" s="1"/>
  <c r="J147" i="15"/>
  <c r="L147" i="15" s="1"/>
  <c r="J205" i="15"/>
  <c r="L205" i="15" s="1"/>
  <c r="J130" i="15"/>
  <c r="L130" i="15" s="1"/>
  <c r="J139" i="15"/>
  <c r="L139" i="15" s="1"/>
  <c r="P139" i="15" s="1"/>
  <c r="G244" i="17"/>
  <c r="G245" i="17"/>
  <c r="G246" i="17"/>
  <c r="G111" i="16"/>
  <c r="G111" i="15"/>
  <c r="P69" i="17"/>
  <c r="B30" i="16"/>
  <c r="B32" i="16" s="1"/>
  <c r="B33" i="16" s="1"/>
  <c r="D32" i="16"/>
  <c r="G111" i="14"/>
  <c r="G225" i="16"/>
  <c r="G226" i="16"/>
  <c r="G227" i="16"/>
  <c r="G225" i="17"/>
  <c r="G226" i="17"/>
  <c r="G227" i="17"/>
  <c r="B30" i="14"/>
  <c r="B32" i="14" s="1"/>
  <c r="B33" i="14" s="1"/>
  <c r="D32" i="14"/>
  <c r="J100" i="13"/>
  <c r="L100" i="13" s="1"/>
  <c r="P100" i="13" s="1"/>
  <c r="J147" i="13"/>
  <c r="L147" i="13" s="1"/>
  <c r="J205" i="13"/>
  <c r="L205" i="13" s="1"/>
  <c r="J130" i="13"/>
  <c r="L130" i="13" s="1"/>
  <c r="J139" i="13"/>
  <c r="L139" i="13" s="1"/>
  <c r="P139" i="13" s="1"/>
  <c r="J57" i="13"/>
  <c r="L57" i="13" s="1"/>
  <c r="G225" i="13"/>
  <c r="G226" i="13"/>
  <c r="G227" i="13"/>
  <c r="D32" i="13"/>
  <c r="B30" i="13"/>
  <c r="B32" i="13" s="1"/>
  <c r="B33" i="13" s="1"/>
  <c r="P201" i="14"/>
  <c r="J359" i="14"/>
  <c r="L228" i="18" l="1"/>
  <c r="G164" i="18" s="1"/>
  <c r="P225" i="18"/>
  <c r="D272" i="18"/>
  <c r="B54" i="18"/>
  <c r="P99" i="18"/>
  <c r="P209" i="18"/>
  <c r="L211" i="18"/>
  <c r="L247" i="18"/>
  <c r="P247" i="18" s="1"/>
  <c r="P244" i="18"/>
  <c r="L209" i="17"/>
  <c r="P205" i="17"/>
  <c r="P57" i="17"/>
  <c r="L79" i="17"/>
  <c r="P79" i="17" s="1"/>
  <c r="H227" i="14"/>
  <c r="L227" i="14" s="1"/>
  <c r="P227" i="14" s="1"/>
  <c r="H226" i="14"/>
  <c r="L226" i="14" s="1"/>
  <c r="P226" i="14" s="1"/>
  <c r="L99" i="17"/>
  <c r="P99" i="17" s="1"/>
  <c r="P130" i="17"/>
  <c r="P147" i="16"/>
  <c r="B35" i="15"/>
  <c r="B20" i="15"/>
  <c r="P57" i="13"/>
  <c r="L79" i="13"/>
  <c r="J57" i="14"/>
  <c r="L57" i="14" s="1"/>
  <c r="J100" i="14"/>
  <c r="L100" i="14" s="1"/>
  <c r="P100" i="14" s="1"/>
  <c r="J147" i="14"/>
  <c r="L147" i="14" s="1"/>
  <c r="J205" i="14"/>
  <c r="L205" i="14" s="1"/>
  <c r="J139" i="14"/>
  <c r="L139" i="14" s="1"/>
  <c r="P139" i="14" s="1"/>
  <c r="J130" i="14"/>
  <c r="L130" i="14" s="1"/>
  <c r="P205" i="16"/>
  <c r="L209" i="16"/>
  <c r="P244" i="15"/>
  <c r="L247" i="15"/>
  <c r="P247" i="15" s="1"/>
  <c r="L99" i="13"/>
  <c r="P130" i="13"/>
  <c r="H227" i="17"/>
  <c r="L227" i="17" s="1"/>
  <c r="P227" i="17" s="1"/>
  <c r="H226" i="17"/>
  <c r="L226" i="17" s="1"/>
  <c r="P226" i="17" s="1"/>
  <c r="L209" i="13"/>
  <c r="P205" i="13"/>
  <c r="H226" i="16"/>
  <c r="L226" i="16" s="1"/>
  <c r="P226" i="16" s="1"/>
  <c r="H227" i="16"/>
  <c r="L227" i="16" s="1"/>
  <c r="P227" i="16" s="1"/>
  <c r="L99" i="15"/>
  <c r="P130" i="15"/>
  <c r="H226" i="15"/>
  <c r="H227" i="15"/>
  <c r="L227" i="15" s="1"/>
  <c r="P227" i="15" s="1"/>
  <c r="P147" i="13"/>
  <c r="L209" i="15"/>
  <c r="P205" i="15"/>
  <c r="L99" i="16"/>
  <c r="P130" i="16"/>
  <c r="P147" i="15"/>
  <c r="P57" i="16"/>
  <c r="L79" i="16"/>
  <c r="B35" i="16"/>
  <c r="B20" i="16"/>
  <c r="B35" i="13"/>
  <c r="B20" i="13"/>
  <c r="H226" i="13"/>
  <c r="L226" i="13" s="1"/>
  <c r="P226" i="13" s="1"/>
  <c r="H227" i="13"/>
  <c r="L227" i="13" s="1"/>
  <c r="P227" i="13" s="1"/>
  <c r="B35" i="14"/>
  <c r="B20" i="14"/>
  <c r="L246" i="17"/>
  <c r="P246" i="17" s="1"/>
  <c r="H244" i="17"/>
  <c r="L245" i="17"/>
  <c r="P245" i="17" s="1"/>
  <c r="L244" i="17"/>
  <c r="H245" i="17"/>
  <c r="H246" i="17"/>
  <c r="P57" i="15"/>
  <c r="L79" i="15"/>
  <c r="B35" i="17"/>
  <c r="B20" i="17"/>
  <c r="H225" i="13" l="1"/>
  <c r="L225" i="13" s="1"/>
  <c r="J361" i="18"/>
  <c r="P211" i="18"/>
  <c r="B55" i="18"/>
  <c r="B56" i="18" s="1"/>
  <c r="P228" i="18"/>
  <c r="G174" i="18"/>
  <c r="G170" i="18" s="1"/>
  <c r="G172" i="18" s="1"/>
  <c r="G178" i="18" s="1"/>
  <c r="G183" i="18" s="1"/>
  <c r="H225" i="14"/>
  <c r="L225" i="14" s="1"/>
  <c r="P225" i="14" s="1"/>
  <c r="H225" i="15"/>
  <c r="L225" i="15" s="1"/>
  <c r="H225" i="17"/>
  <c r="L225" i="17" s="1"/>
  <c r="L228" i="17" s="1"/>
  <c r="G164" i="17" s="1"/>
  <c r="P209" i="17"/>
  <c r="L211" i="17"/>
  <c r="P225" i="15"/>
  <c r="L228" i="13"/>
  <c r="G164" i="13" s="1"/>
  <c r="P225" i="13"/>
  <c r="P57" i="14"/>
  <c r="L79" i="14"/>
  <c r="B54" i="16"/>
  <c r="D272" i="16"/>
  <c r="P99" i="16"/>
  <c r="L226" i="15"/>
  <c r="P226" i="15" s="1"/>
  <c r="P209" i="16"/>
  <c r="L211" i="16"/>
  <c r="P79" i="13"/>
  <c r="P79" i="16"/>
  <c r="P209" i="15"/>
  <c r="L211" i="15"/>
  <c r="H225" i="16"/>
  <c r="L225" i="16" s="1"/>
  <c r="P130" i="14"/>
  <c r="L99" i="14"/>
  <c r="P79" i="15"/>
  <c r="D272" i="14"/>
  <c r="B54" i="14"/>
  <c r="B54" i="13"/>
  <c r="D272" i="13"/>
  <c r="P99" i="15"/>
  <c r="P209" i="13"/>
  <c r="L211" i="13"/>
  <c r="P99" i="13"/>
  <c r="L209" i="14"/>
  <c r="P205" i="14"/>
  <c r="B54" i="15"/>
  <c r="D272" i="15"/>
  <c r="P147" i="14"/>
  <c r="D272" i="17"/>
  <c r="B54" i="17"/>
  <c r="L247" i="17"/>
  <c r="P247" i="17" s="1"/>
  <c r="P244" i="17"/>
  <c r="E196" i="18" l="1"/>
  <c r="B57" i="18"/>
  <c r="B58" i="18" s="1"/>
  <c r="B59" i="18" s="1"/>
  <c r="B60" i="18" s="1"/>
  <c r="J148" i="18"/>
  <c r="L148" i="18" s="1"/>
  <c r="J101" i="18"/>
  <c r="L101" i="18" s="1"/>
  <c r="J73" i="18"/>
  <c r="L73" i="18" s="1"/>
  <c r="P73" i="18" s="1"/>
  <c r="J72" i="18"/>
  <c r="L72" i="18" s="1"/>
  <c r="J61" i="18"/>
  <c r="L61" i="18" s="1"/>
  <c r="P61" i="18" s="1"/>
  <c r="J137" i="18"/>
  <c r="L137" i="18" s="1"/>
  <c r="J62" i="18"/>
  <c r="L62" i="18" s="1"/>
  <c r="J103" i="18"/>
  <c r="L103" i="18" s="1"/>
  <c r="P103" i="18" s="1"/>
  <c r="J150" i="18"/>
  <c r="L150" i="18" s="1"/>
  <c r="P150" i="18" s="1"/>
  <c r="J60" i="18"/>
  <c r="L60" i="18" s="1"/>
  <c r="J74" i="18"/>
  <c r="L74" i="18" s="1"/>
  <c r="P74" i="18" s="1"/>
  <c r="J155" i="18"/>
  <c r="L155" i="18" s="1"/>
  <c r="L228" i="14"/>
  <c r="G174" i="14" s="1"/>
  <c r="P225" i="17"/>
  <c r="P211" i="17"/>
  <c r="J361" i="17"/>
  <c r="B55" i="15"/>
  <c r="B56" i="15" s="1"/>
  <c r="L228" i="16"/>
  <c r="G164" i="16" s="1"/>
  <c r="P225" i="16"/>
  <c r="G174" i="17"/>
  <c r="G170" i="17" s="1"/>
  <c r="G172" i="17" s="1"/>
  <c r="G178" i="17" s="1"/>
  <c r="G183" i="17" s="1"/>
  <c r="P228" i="17"/>
  <c r="J361" i="15"/>
  <c r="P211" i="15"/>
  <c r="B55" i="13"/>
  <c r="B56" i="13" s="1"/>
  <c r="B55" i="17"/>
  <c r="B56" i="17" s="1"/>
  <c r="B55" i="14"/>
  <c r="B56" i="14" s="1"/>
  <c r="B55" i="16"/>
  <c r="B56" i="16" s="1"/>
  <c r="G174" i="13"/>
  <c r="G170" i="13" s="1"/>
  <c r="G172" i="13" s="1"/>
  <c r="G178" i="13" s="1"/>
  <c r="G183" i="13" s="1"/>
  <c r="P228" i="13"/>
  <c r="P79" i="14"/>
  <c r="P209" i="14"/>
  <c r="L211" i="14"/>
  <c r="J361" i="13"/>
  <c r="P211" i="13"/>
  <c r="P211" i="16"/>
  <c r="J361" i="16"/>
  <c r="P99" i="14"/>
  <c r="L228" i="15"/>
  <c r="P155" i="18" l="1"/>
  <c r="P72" i="18"/>
  <c r="L75" i="18"/>
  <c r="P75" i="18" s="1"/>
  <c r="P101" i="18"/>
  <c r="P60" i="18"/>
  <c r="L81" i="18"/>
  <c r="L63" i="18"/>
  <c r="P148" i="18"/>
  <c r="L151" i="18"/>
  <c r="P151" i="18" s="1"/>
  <c r="P62" i="18"/>
  <c r="L82" i="18"/>
  <c r="P82" i="18" s="1"/>
  <c r="B61" i="18"/>
  <c r="B62" i="18" s="1"/>
  <c r="P137" i="18"/>
  <c r="P228" i="14"/>
  <c r="G164" i="14"/>
  <c r="G170" i="14" s="1"/>
  <c r="G172" i="14" s="1"/>
  <c r="G178" i="14" s="1"/>
  <c r="G183" i="14" s="1"/>
  <c r="J61" i="17"/>
  <c r="L61" i="17" s="1"/>
  <c r="P61" i="17" s="1"/>
  <c r="J60" i="17"/>
  <c r="L60" i="17" s="1"/>
  <c r="J72" i="17"/>
  <c r="L72" i="17" s="1"/>
  <c r="J74" i="17"/>
  <c r="L74" i="17" s="1"/>
  <c r="P74" i="17" s="1"/>
  <c r="J101" i="17"/>
  <c r="L101" i="17" s="1"/>
  <c r="P101" i="17" s="1"/>
  <c r="J150" i="17"/>
  <c r="L150" i="17" s="1"/>
  <c r="P150" i="17" s="1"/>
  <c r="J155" i="17"/>
  <c r="L155" i="17" s="1"/>
  <c r="P155" i="17" s="1"/>
  <c r="J137" i="17"/>
  <c r="L137" i="17" s="1"/>
  <c r="P137" i="17" s="1"/>
  <c r="J103" i="17"/>
  <c r="L103" i="17" s="1"/>
  <c r="P103" i="17" s="1"/>
  <c r="J148" i="17"/>
  <c r="L148" i="17" s="1"/>
  <c r="J62" i="17"/>
  <c r="L62" i="17" s="1"/>
  <c r="J73" i="17"/>
  <c r="L73" i="17" s="1"/>
  <c r="P73" i="17" s="1"/>
  <c r="E196" i="14"/>
  <c r="B57" i="14"/>
  <c r="B58" i="14" s="1"/>
  <c r="B59" i="14" s="1"/>
  <c r="B60" i="14" s="1"/>
  <c r="J61" i="15"/>
  <c r="L61" i="15" s="1"/>
  <c r="P61" i="15" s="1"/>
  <c r="J74" i="15"/>
  <c r="L74" i="15" s="1"/>
  <c r="P74" i="15" s="1"/>
  <c r="J150" i="15"/>
  <c r="L150" i="15" s="1"/>
  <c r="P150" i="15" s="1"/>
  <c r="J60" i="15"/>
  <c r="L60" i="15" s="1"/>
  <c r="J103" i="15"/>
  <c r="L103" i="15" s="1"/>
  <c r="P103" i="15" s="1"/>
  <c r="J73" i="15"/>
  <c r="L73" i="15" s="1"/>
  <c r="P73" i="15" s="1"/>
  <c r="J137" i="15"/>
  <c r="L137" i="15" s="1"/>
  <c r="J72" i="15"/>
  <c r="L72" i="15" s="1"/>
  <c r="J101" i="15"/>
  <c r="L101" i="15" s="1"/>
  <c r="J62" i="15"/>
  <c r="L62" i="15" s="1"/>
  <c r="J148" i="15"/>
  <c r="L148" i="15" s="1"/>
  <c r="J155" i="15"/>
  <c r="L155" i="15" s="1"/>
  <c r="P228" i="16"/>
  <c r="G174" i="16"/>
  <c r="G170" i="16" s="1"/>
  <c r="G172" i="16" s="1"/>
  <c r="G178" i="16" s="1"/>
  <c r="G183" i="16" s="1"/>
  <c r="P211" i="14"/>
  <c r="J361" i="14"/>
  <c r="G174" i="15"/>
  <c r="P228" i="15"/>
  <c r="G164" i="15"/>
  <c r="B57" i="16"/>
  <c r="B58" i="16" s="1"/>
  <c r="B59" i="16" s="1"/>
  <c r="B60" i="16" s="1"/>
  <c r="E196" i="16"/>
  <c r="B57" i="17"/>
  <c r="B58" i="17" s="1"/>
  <c r="B59" i="17" s="1"/>
  <c r="B60" i="17" s="1"/>
  <c r="E196" i="17"/>
  <c r="B57" i="15"/>
  <c r="B58" i="15" s="1"/>
  <c r="B59" i="15" s="1"/>
  <c r="B60" i="15" s="1"/>
  <c r="E196" i="15"/>
  <c r="J62" i="16"/>
  <c r="L62" i="16" s="1"/>
  <c r="J73" i="16"/>
  <c r="L73" i="16" s="1"/>
  <c r="P73" i="16" s="1"/>
  <c r="J60" i="16"/>
  <c r="L60" i="16" s="1"/>
  <c r="J137" i="16"/>
  <c r="L137" i="16" s="1"/>
  <c r="J61" i="16"/>
  <c r="L61" i="16" s="1"/>
  <c r="P61" i="16" s="1"/>
  <c r="J101" i="16"/>
  <c r="L101" i="16" s="1"/>
  <c r="J148" i="16"/>
  <c r="L148" i="16" s="1"/>
  <c r="J72" i="16"/>
  <c r="L72" i="16" s="1"/>
  <c r="J74" i="16"/>
  <c r="L74" i="16" s="1"/>
  <c r="P74" i="16" s="1"/>
  <c r="J150" i="16"/>
  <c r="L150" i="16" s="1"/>
  <c r="P150" i="16" s="1"/>
  <c r="J103" i="16"/>
  <c r="L103" i="16" s="1"/>
  <c r="P103" i="16" s="1"/>
  <c r="J155" i="16"/>
  <c r="L155" i="16" s="1"/>
  <c r="J60" i="13"/>
  <c r="L60" i="13" s="1"/>
  <c r="J74" i="13"/>
  <c r="L74" i="13" s="1"/>
  <c r="P74" i="13" s="1"/>
  <c r="J150" i="13"/>
  <c r="L150" i="13" s="1"/>
  <c r="P150" i="13" s="1"/>
  <c r="J103" i="13"/>
  <c r="L103" i="13" s="1"/>
  <c r="P103" i="13" s="1"/>
  <c r="J62" i="13"/>
  <c r="L62" i="13" s="1"/>
  <c r="J73" i="13"/>
  <c r="L73" i="13" s="1"/>
  <c r="P73" i="13" s="1"/>
  <c r="J137" i="13"/>
  <c r="L137" i="13" s="1"/>
  <c r="J61" i="13"/>
  <c r="L61" i="13" s="1"/>
  <c r="P61" i="13" s="1"/>
  <c r="J72" i="13"/>
  <c r="L72" i="13" s="1"/>
  <c r="J101" i="13"/>
  <c r="L101" i="13" s="1"/>
  <c r="J148" i="13"/>
  <c r="L148" i="13" s="1"/>
  <c r="J155" i="13"/>
  <c r="L155" i="13" s="1"/>
  <c r="B57" i="13"/>
  <c r="B58" i="13" s="1"/>
  <c r="B59" i="13" s="1"/>
  <c r="B60" i="13" s="1"/>
  <c r="E196" i="13"/>
  <c r="B63" i="18" l="1"/>
  <c r="B65" i="18" s="1"/>
  <c r="B66" i="18" s="1"/>
  <c r="E63" i="18"/>
  <c r="P81" i="18"/>
  <c r="L83" i="18"/>
  <c r="P63" i="18"/>
  <c r="J63" i="18"/>
  <c r="J355" i="18" s="1"/>
  <c r="G170" i="15"/>
  <c r="G172" i="15" s="1"/>
  <c r="G178" i="15" s="1"/>
  <c r="G183" i="15" s="1"/>
  <c r="L75" i="17"/>
  <c r="P75" i="17" s="1"/>
  <c r="P72" i="17"/>
  <c r="P148" i="17"/>
  <c r="L151" i="17"/>
  <c r="P151" i="17" s="1"/>
  <c r="L81" i="17"/>
  <c r="P60" i="17"/>
  <c r="L63" i="17"/>
  <c r="L82" i="17"/>
  <c r="P82" i="17" s="1"/>
  <c r="P62" i="17"/>
  <c r="P62" i="15"/>
  <c r="L82" i="15"/>
  <c r="P82" i="15" s="1"/>
  <c r="L82" i="16"/>
  <c r="P82" i="16" s="1"/>
  <c r="P62" i="16"/>
  <c r="J155" i="14"/>
  <c r="L155" i="14" s="1"/>
  <c r="J60" i="14"/>
  <c r="L60" i="14" s="1"/>
  <c r="J74" i="14"/>
  <c r="L74" i="14" s="1"/>
  <c r="P74" i="14" s="1"/>
  <c r="J150" i="14"/>
  <c r="L150" i="14" s="1"/>
  <c r="P150" i="14" s="1"/>
  <c r="J103" i="14"/>
  <c r="L103" i="14" s="1"/>
  <c r="P103" i="14" s="1"/>
  <c r="J62" i="14"/>
  <c r="L62" i="14" s="1"/>
  <c r="J73" i="14"/>
  <c r="L73" i="14" s="1"/>
  <c r="P73" i="14" s="1"/>
  <c r="J137" i="14"/>
  <c r="L137" i="14" s="1"/>
  <c r="J101" i="14"/>
  <c r="L101" i="14" s="1"/>
  <c r="J148" i="14"/>
  <c r="L148" i="14" s="1"/>
  <c r="J72" i="14"/>
  <c r="L72" i="14" s="1"/>
  <c r="J61" i="14"/>
  <c r="L61" i="14" s="1"/>
  <c r="P61" i="14" s="1"/>
  <c r="P101" i="15"/>
  <c r="P72" i="16"/>
  <c r="L75" i="16"/>
  <c r="P75" i="16" s="1"/>
  <c r="B61" i="16"/>
  <c r="B62" i="16" s="1"/>
  <c r="P72" i="15"/>
  <c r="L75" i="15"/>
  <c r="P75" i="15" s="1"/>
  <c r="B61" i="13"/>
  <c r="B62" i="13" s="1"/>
  <c r="P148" i="13"/>
  <c r="L151" i="13"/>
  <c r="P151" i="13" s="1"/>
  <c r="P148" i="16"/>
  <c r="L151" i="16"/>
  <c r="P151" i="16" s="1"/>
  <c r="P137" i="15"/>
  <c r="B61" i="14"/>
  <c r="B62" i="14" s="1"/>
  <c r="P101" i="13"/>
  <c r="P101" i="16"/>
  <c r="B61" i="15"/>
  <c r="B62" i="15" s="1"/>
  <c r="P72" i="13"/>
  <c r="L75" i="13"/>
  <c r="P75" i="13" s="1"/>
  <c r="L81" i="13"/>
  <c r="P60" i="13"/>
  <c r="L63" i="13"/>
  <c r="P62" i="13"/>
  <c r="L82" i="13"/>
  <c r="P82" i="13" s="1"/>
  <c r="P155" i="16"/>
  <c r="P137" i="16"/>
  <c r="P155" i="15"/>
  <c r="P60" i="15"/>
  <c r="L81" i="15"/>
  <c r="L63" i="15"/>
  <c r="P155" i="13"/>
  <c r="P137" i="13"/>
  <c r="L81" i="16"/>
  <c r="P60" i="16"/>
  <c r="L63" i="16"/>
  <c r="B61" i="17"/>
  <c r="B62" i="17" s="1"/>
  <c r="P148" i="15"/>
  <c r="L151" i="15"/>
  <c r="P151" i="15" s="1"/>
  <c r="J157" i="18" l="1"/>
  <c r="L157" i="18" s="1"/>
  <c r="J104" i="18"/>
  <c r="L104" i="18" s="1"/>
  <c r="P104" i="18" s="1"/>
  <c r="J138" i="18"/>
  <c r="L138" i="18" s="1"/>
  <c r="J102" i="18"/>
  <c r="L102" i="18" s="1"/>
  <c r="J140" i="18"/>
  <c r="L140" i="18" s="1"/>
  <c r="P140" i="18" s="1"/>
  <c r="J159" i="18"/>
  <c r="L159" i="18" s="1"/>
  <c r="P159" i="18" s="1"/>
  <c r="B67" i="18"/>
  <c r="B68" i="18" s="1"/>
  <c r="P83" i="18"/>
  <c r="J83" i="18"/>
  <c r="J358" i="18" s="1"/>
  <c r="J171" i="18" s="1"/>
  <c r="L171" i="18" s="1"/>
  <c r="P171" i="18" s="1"/>
  <c r="P63" i="17"/>
  <c r="J63" i="17"/>
  <c r="J355" i="17" s="1"/>
  <c r="P81" i="17"/>
  <c r="L83" i="17"/>
  <c r="P63" i="16"/>
  <c r="J63" i="16"/>
  <c r="J355" i="16" s="1"/>
  <c r="B63" i="15"/>
  <c r="B65" i="15" s="1"/>
  <c r="B66" i="15" s="1"/>
  <c r="E63" i="15"/>
  <c r="P72" i="14"/>
  <c r="L75" i="14"/>
  <c r="P75" i="14" s="1"/>
  <c r="P148" i="14"/>
  <c r="L151" i="14"/>
  <c r="P151" i="14" s="1"/>
  <c r="L81" i="14"/>
  <c r="P60" i="14"/>
  <c r="L63" i="14"/>
  <c r="P81" i="16"/>
  <c r="L83" i="16"/>
  <c r="P63" i="13"/>
  <c r="J63" i="13"/>
  <c r="J355" i="13" s="1"/>
  <c r="B63" i="16"/>
  <c r="B65" i="16" s="1"/>
  <c r="B66" i="16" s="1"/>
  <c r="E63" i="16"/>
  <c r="P101" i="14"/>
  <c r="P155" i="14"/>
  <c r="P137" i="14"/>
  <c r="B63" i="17"/>
  <c r="B65" i="17" s="1"/>
  <c r="B66" i="17" s="1"/>
  <c r="E63" i="17"/>
  <c r="P81" i="15"/>
  <c r="L83" i="15"/>
  <c r="P81" i="13"/>
  <c r="L83" i="13"/>
  <c r="B63" i="14"/>
  <c r="B65" i="14" s="1"/>
  <c r="B66" i="14" s="1"/>
  <c r="E63" i="14"/>
  <c r="L82" i="14"/>
  <c r="P82" i="14" s="1"/>
  <c r="P62" i="14"/>
  <c r="P63" i="15"/>
  <c r="J63" i="15"/>
  <c r="J355" i="15" s="1"/>
  <c r="B63" i="13"/>
  <c r="B65" i="13" s="1"/>
  <c r="B66" i="13" s="1"/>
  <c r="E63" i="13"/>
  <c r="P102" i="18" l="1"/>
  <c r="L107" i="18"/>
  <c r="P138" i="18"/>
  <c r="L143" i="18"/>
  <c r="B69" i="18"/>
  <c r="B70" i="18" s="1"/>
  <c r="B71" i="18" s="1"/>
  <c r="B72" i="18" s="1"/>
  <c r="P157" i="18"/>
  <c r="L160" i="18"/>
  <c r="P160" i="18" s="1"/>
  <c r="J83" i="17"/>
  <c r="J358" i="17" s="1"/>
  <c r="J171" i="17" s="1"/>
  <c r="L171" i="17" s="1"/>
  <c r="P171" i="17" s="1"/>
  <c r="P83" i="17"/>
  <c r="J138" i="17"/>
  <c r="L138" i="17" s="1"/>
  <c r="J140" i="17"/>
  <c r="L140" i="17" s="1"/>
  <c r="P140" i="17" s="1"/>
  <c r="J104" i="17"/>
  <c r="L104" i="17" s="1"/>
  <c r="P104" i="17" s="1"/>
  <c r="J157" i="17"/>
  <c r="L157" i="17" s="1"/>
  <c r="J102" i="17"/>
  <c r="L102" i="17" s="1"/>
  <c r="J159" i="17"/>
  <c r="L159" i="17" s="1"/>
  <c r="P159" i="17" s="1"/>
  <c r="P63" i="14"/>
  <c r="J63" i="14"/>
  <c r="J355" i="14" s="1"/>
  <c r="J159" i="15"/>
  <c r="L159" i="15" s="1"/>
  <c r="P159" i="15" s="1"/>
  <c r="J138" i="15"/>
  <c r="L138" i="15" s="1"/>
  <c r="J140" i="15"/>
  <c r="L140" i="15" s="1"/>
  <c r="P140" i="15" s="1"/>
  <c r="J102" i="15"/>
  <c r="L102" i="15" s="1"/>
  <c r="J157" i="15"/>
  <c r="L157" i="15" s="1"/>
  <c r="J104" i="15"/>
  <c r="L104" i="15" s="1"/>
  <c r="P104" i="15" s="1"/>
  <c r="P83" i="13"/>
  <c r="J83" i="13"/>
  <c r="J358" i="13" s="1"/>
  <c r="J171" i="13" s="1"/>
  <c r="L171" i="13" s="1"/>
  <c r="P171" i="13" s="1"/>
  <c r="B67" i="16"/>
  <c r="B68" i="16" s="1"/>
  <c r="P81" i="14"/>
  <c r="L83" i="14"/>
  <c r="B67" i="15"/>
  <c r="B68" i="15" s="1"/>
  <c r="B67" i="13"/>
  <c r="B68" i="13" s="1"/>
  <c r="B67" i="14"/>
  <c r="B68" i="14" s="1"/>
  <c r="B67" i="17"/>
  <c r="B68" i="17" s="1"/>
  <c r="J159" i="13"/>
  <c r="L159" i="13" s="1"/>
  <c r="P159" i="13" s="1"/>
  <c r="J138" i="13"/>
  <c r="L138" i="13" s="1"/>
  <c r="J140" i="13"/>
  <c r="L140" i="13" s="1"/>
  <c r="P140" i="13" s="1"/>
  <c r="J102" i="13"/>
  <c r="L102" i="13" s="1"/>
  <c r="J104" i="13"/>
  <c r="L104" i="13" s="1"/>
  <c r="P104" i="13" s="1"/>
  <c r="J157" i="13"/>
  <c r="L157" i="13" s="1"/>
  <c r="P83" i="15"/>
  <c r="J83" i="15"/>
  <c r="J358" i="15" s="1"/>
  <c r="J171" i="15" s="1"/>
  <c r="L171" i="15" s="1"/>
  <c r="P171" i="15" s="1"/>
  <c r="P83" i="16"/>
  <c r="J83" i="16"/>
  <c r="J358" i="16" s="1"/>
  <c r="J171" i="16" s="1"/>
  <c r="L171" i="16" s="1"/>
  <c r="P171" i="16" s="1"/>
  <c r="J140" i="16"/>
  <c r="L140" i="16" s="1"/>
  <c r="P140" i="16" s="1"/>
  <c r="J102" i="16"/>
  <c r="L102" i="16" s="1"/>
  <c r="J104" i="16"/>
  <c r="L104" i="16" s="1"/>
  <c r="P104" i="16" s="1"/>
  <c r="J157" i="16"/>
  <c r="L157" i="16" s="1"/>
  <c r="J159" i="16"/>
  <c r="L159" i="16" s="1"/>
  <c r="P159" i="16" s="1"/>
  <c r="J138" i="16"/>
  <c r="L138" i="16" s="1"/>
  <c r="E79" i="18" l="1"/>
  <c r="B73" i="18"/>
  <c r="B74" i="18" s="1"/>
  <c r="E81" i="18"/>
  <c r="L144" i="18"/>
  <c r="P143" i="18"/>
  <c r="L111" i="18"/>
  <c r="P107" i="18"/>
  <c r="P102" i="17"/>
  <c r="L107" i="17"/>
  <c r="P157" i="17"/>
  <c r="L160" i="17"/>
  <c r="P160" i="17" s="1"/>
  <c r="L143" i="17"/>
  <c r="P138" i="17"/>
  <c r="B69" i="15"/>
  <c r="B70" i="15" s="1"/>
  <c r="B71" i="15" s="1"/>
  <c r="B72" i="15" s="1"/>
  <c r="P157" i="15"/>
  <c r="L160" i="15"/>
  <c r="P160" i="15" s="1"/>
  <c r="P157" i="16"/>
  <c r="L160" i="16"/>
  <c r="P160" i="16" s="1"/>
  <c r="P157" i="13"/>
  <c r="L160" i="13"/>
  <c r="P160" i="13" s="1"/>
  <c r="P83" i="14"/>
  <c r="J83" i="14"/>
  <c r="J358" i="14" s="1"/>
  <c r="J171" i="14" s="1"/>
  <c r="L171" i="14" s="1"/>
  <c r="P171" i="14" s="1"/>
  <c r="P102" i="15"/>
  <c r="L107" i="15"/>
  <c r="P102" i="16"/>
  <c r="L107" i="16"/>
  <c r="B69" i="17"/>
  <c r="B70" i="17" s="1"/>
  <c r="B71" i="17" s="1"/>
  <c r="B72" i="17" s="1"/>
  <c r="E79" i="17"/>
  <c r="P102" i="13"/>
  <c r="L107" i="13"/>
  <c r="P138" i="15"/>
  <c r="L143" i="15"/>
  <c r="B69" i="14"/>
  <c r="B70" i="14" s="1"/>
  <c r="B71" i="14" s="1"/>
  <c r="B72" i="14" s="1"/>
  <c r="E79" i="14"/>
  <c r="B69" i="16"/>
  <c r="B70" i="16" s="1"/>
  <c r="B71" i="16" s="1"/>
  <c r="B72" i="16" s="1"/>
  <c r="E79" i="16"/>
  <c r="P138" i="16"/>
  <c r="L143" i="16"/>
  <c r="P138" i="13"/>
  <c r="L143" i="13"/>
  <c r="J159" i="14"/>
  <c r="L159" i="14" s="1"/>
  <c r="P159" i="14" s="1"/>
  <c r="J138" i="14"/>
  <c r="L138" i="14" s="1"/>
  <c r="J140" i="14"/>
  <c r="L140" i="14" s="1"/>
  <c r="P140" i="14" s="1"/>
  <c r="J104" i="14"/>
  <c r="L104" i="14" s="1"/>
  <c r="P104" i="14" s="1"/>
  <c r="J157" i="14"/>
  <c r="L157" i="14" s="1"/>
  <c r="J102" i="14"/>
  <c r="L102" i="14" s="1"/>
  <c r="B69" i="13"/>
  <c r="B70" i="13" s="1"/>
  <c r="B71" i="13" s="1"/>
  <c r="B72" i="13" s="1"/>
  <c r="E79" i="13"/>
  <c r="P111" i="18" l="1"/>
  <c r="L174" i="18"/>
  <c r="P144" i="18"/>
  <c r="B75" i="18"/>
  <c r="B77" i="18" s="1"/>
  <c r="B78" i="18" s="1"/>
  <c r="E82" i="18"/>
  <c r="E75" i="18"/>
  <c r="L144" i="17"/>
  <c r="P144" i="17" s="1"/>
  <c r="P143" i="17"/>
  <c r="L111" i="17"/>
  <c r="P107" i="17"/>
  <c r="L144" i="13"/>
  <c r="P143" i="13"/>
  <c r="B73" i="13"/>
  <c r="B74" i="13" s="1"/>
  <c r="E81" i="13"/>
  <c r="E79" i="15"/>
  <c r="P157" i="14"/>
  <c r="L160" i="14"/>
  <c r="P160" i="14" s="1"/>
  <c r="B73" i="15"/>
  <c r="B74" i="15" s="1"/>
  <c r="L144" i="15"/>
  <c r="P143" i="15"/>
  <c r="L111" i="13"/>
  <c r="P107" i="13"/>
  <c r="B73" i="16"/>
  <c r="B74" i="16" s="1"/>
  <c r="E81" i="16"/>
  <c r="B73" i="17"/>
  <c r="B74" i="17" s="1"/>
  <c r="L111" i="15"/>
  <c r="P107" i="15"/>
  <c r="P143" i="16"/>
  <c r="L144" i="16"/>
  <c r="L111" i="16"/>
  <c r="P107" i="16"/>
  <c r="P102" i="14"/>
  <c r="L107" i="14"/>
  <c r="P138" i="14"/>
  <c r="L143" i="14"/>
  <c r="B73" i="14"/>
  <c r="B74" i="14" s="1"/>
  <c r="E81" i="14"/>
  <c r="B79" i="18" l="1"/>
  <c r="L170" i="18"/>
  <c r="P174" i="18"/>
  <c r="P111" i="17"/>
  <c r="L174" i="17"/>
  <c r="B75" i="15"/>
  <c r="B77" i="15" s="1"/>
  <c r="B78" i="15" s="1"/>
  <c r="E82" i="15"/>
  <c r="E75" i="15"/>
  <c r="B75" i="14"/>
  <c r="B77" i="14" s="1"/>
  <c r="B78" i="14" s="1"/>
  <c r="E82" i="14"/>
  <c r="E75" i="14"/>
  <c r="P111" i="16"/>
  <c r="L174" i="16"/>
  <c r="B75" i="16"/>
  <c r="B77" i="16" s="1"/>
  <c r="B78" i="16" s="1"/>
  <c r="E82" i="16"/>
  <c r="E75" i="16"/>
  <c r="L144" i="14"/>
  <c r="P143" i="14"/>
  <c r="B75" i="17"/>
  <c r="B77" i="17" s="1"/>
  <c r="B78" i="17" s="1"/>
  <c r="E82" i="17"/>
  <c r="E75" i="17"/>
  <c r="P107" i="14"/>
  <c r="L111" i="14"/>
  <c r="B75" i="13"/>
  <c r="B77" i="13" s="1"/>
  <c r="B78" i="13" s="1"/>
  <c r="E82" i="13"/>
  <c r="E75" i="13"/>
  <c r="P111" i="15"/>
  <c r="L174" i="15"/>
  <c r="P144" i="15"/>
  <c r="P144" i="16"/>
  <c r="P111" i="13"/>
  <c r="L174" i="13"/>
  <c r="E81" i="17"/>
  <c r="E81" i="15"/>
  <c r="P144" i="13"/>
  <c r="L172" i="18" l="1"/>
  <c r="P170" i="18"/>
  <c r="E26" i="18"/>
  <c r="B80" i="18"/>
  <c r="B81" i="18" s="1"/>
  <c r="B82" i="18" s="1"/>
  <c r="L170" i="17"/>
  <c r="P174" i="17"/>
  <c r="P144" i="14"/>
  <c r="B79" i="14"/>
  <c r="B79" i="13"/>
  <c r="P111" i="14"/>
  <c r="L174" i="14"/>
  <c r="B79" i="17"/>
  <c r="B79" i="16"/>
  <c r="L170" i="13"/>
  <c r="P174" i="13"/>
  <c r="P174" i="16"/>
  <c r="L170" i="16"/>
  <c r="L170" i="15"/>
  <c r="P174" i="15"/>
  <c r="B79" i="15"/>
  <c r="B83" i="18" l="1"/>
  <c r="E83" i="18"/>
  <c r="P172" i="18"/>
  <c r="L178" i="18"/>
  <c r="P170" i="17"/>
  <c r="L172" i="17"/>
  <c r="E26" i="16"/>
  <c r="B80" i="16"/>
  <c r="B81" i="16" s="1"/>
  <c r="B82" i="16" s="1"/>
  <c r="E26" i="15"/>
  <c r="B80" i="15"/>
  <c r="B81" i="15" s="1"/>
  <c r="B82" i="15" s="1"/>
  <c r="E26" i="17"/>
  <c r="B80" i="17"/>
  <c r="B81" i="17" s="1"/>
  <c r="B82" i="17" s="1"/>
  <c r="E26" i="14"/>
  <c r="B80" i="14"/>
  <c r="B81" i="14" s="1"/>
  <c r="B82" i="14" s="1"/>
  <c r="P170" i="13"/>
  <c r="L172" i="13"/>
  <c r="E26" i="13"/>
  <c r="B80" i="13"/>
  <c r="B81" i="13" s="1"/>
  <c r="B82" i="13" s="1"/>
  <c r="P170" i="15"/>
  <c r="L172" i="15"/>
  <c r="L172" i="16"/>
  <c r="P170" i="16"/>
  <c r="L170" i="14"/>
  <c r="P174" i="14"/>
  <c r="P178" i="18" l="1"/>
  <c r="L11" i="18"/>
  <c r="L183" i="18"/>
  <c r="P183" i="18" s="1"/>
  <c r="B86" i="18"/>
  <c r="B87" i="18" s="1"/>
  <c r="P172" i="17"/>
  <c r="L178" i="17"/>
  <c r="B83" i="17"/>
  <c r="E83" i="17"/>
  <c r="B83" i="14"/>
  <c r="E83" i="14"/>
  <c r="B83" i="15"/>
  <c r="E83" i="15"/>
  <c r="P172" i="16"/>
  <c r="L178" i="16"/>
  <c r="P172" i="15"/>
  <c r="L178" i="15"/>
  <c r="P172" i="13"/>
  <c r="L178" i="13"/>
  <c r="B83" i="16"/>
  <c r="E83" i="16"/>
  <c r="B83" i="13"/>
  <c r="E83" i="13"/>
  <c r="P170" i="14"/>
  <c r="L172" i="14"/>
  <c r="B88" i="18" l="1"/>
  <c r="B89" i="18" s="1"/>
  <c r="B90" i="18" s="1"/>
  <c r="B91" i="18" s="1"/>
  <c r="B92" i="18" s="1"/>
  <c r="P11" i="18"/>
  <c r="L18" i="18"/>
  <c r="P18" i="18" s="1"/>
  <c r="L33" i="18"/>
  <c r="P33" i="18" s="1"/>
  <c r="L30" i="18"/>
  <c r="P30" i="18" s="1"/>
  <c r="L26" i="18"/>
  <c r="L183" i="17"/>
  <c r="P183" i="17" s="1"/>
  <c r="P178" i="17"/>
  <c r="L11" i="17"/>
  <c r="P178" i="16"/>
  <c r="L183" i="16"/>
  <c r="P183" i="16" s="1"/>
  <c r="L11" i="16"/>
  <c r="B86" i="13"/>
  <c r="B87" i="13" s="1"/>
  <c r="B86" i="14"/>
  <c r="B87" i="14" s="1"/>
  <c r="L11" i="15"/>
  <c r="L183" i="15"/>
  <c r="P183" i="15" s="1"/>
  <c r="P178" i="15"/>
  <c r="P172" i="14"/>
  <c r="L178" i="14"/>
  <c r="B86" i="15"/>
  <c r="B87" i="15" s="1"/>
  <c r="B86" i="16"/>
  <c r="B87" i="16" s="1"/>
  <c r="L183" i="13"/>
  <c r="P183" i="13" s="1"/>
  <c r="L11" i="13"/>
  <c r="P178" i="13"/>
  <c r="B86" i="17"/>
  <c r="B87" i="17" s="1"/>
  <c r="P26" i="18" l="1"/>
  <c r="L27" i="18"/>
  <c r="P27" i="18" s="1"/>
  <c r="E92" i="18"/>
  <c r="B94" i="18"/>
  <c r="B98" i="18" s="1"/>
  <c r="B99" i="18" s="1"/>
  <c r="L26" i="17"/>
  <c r="L18" i="17"/>
  <c r="P18" i="17" s="1"/>
  <c r="P11" i="17"/>
  <c r="C12" i="10" s="1"/>
  <c r="L33" i="17"/>
  <c r="P33" i="17" s="1"/>
  <c r="L30" i="17"/>
  <c r="P30" i="17" s="1"/>
  <c r="L183" i="14"/>
  <c r="P183" i="14" s="1"/>
  <c r="P178" i="14"/>
  <c r="L11" i="14"/>
  <c r="B88" i="13"/>
  <c r="B89" i="13" s="1"/>
  <c r="B90" i="13" s="1"/>
  <c r="B91" i="13" s="1"/>
  <c r="B92" i="13" s="1"/>
  <c r="E92" i="13"/>
  <c r="B88" i="14"/>
  <c r="B89" i="14" s="1"/>
  <c r="B90" i="14" s="1"/>
  <c r="B91" i="14" s="1"/>
  <c r="B92" i="14" s="1"/>
  <c r="B88" i="17"/>
  <c r="B89" i="17" s="1"/>
  <c r="B90" i="17" s="1"/>
  <c r="B91" i="17" s="1"/>
  <c r="B92" i="17" s="1"/>
  <c r="L18" i="16"/>
  <c r="P18" i="16" s="1"/>
  <c r="P11" i="16"/>
  <c r="C11" i="10" s="1"/>
  <c r="L33" i="16"/>
  <c r="P33" i="16" s="1"/>
  <c r="L26" i="16"/>
  <c r="L30" i="16"/>
  <c r="P30" i="16" s="1"/>
  <c r="L18" i="15"/>
  <c r="P18" i="15" s="1"/>
  <c r="P11" i="15"/>
  <c r="C10" i="10" s="1"/>
  <c r="L30" i="15"/>
  <c r="P30" i="15" s="1"/>
  <c r="L26" i="15"/>
  <c r="L33" i="15"/>
  <c r="P33" i="15" s="1"/>
  <c r="B88" i="15"/>
  <c r="B89" i="15" s="1"/>
  <c r="B90" i="15" s="1"/>
  <c r="B91" i="15" s="1"/>
  <c r="B92" i="15" s="1"/>
  <c r="L18" i="13"/>
  <c r="P18" i="13" s="1"/>
  <c r="P11" i="13"/>
  <c r="C8" i="10" s="1"/>
  <c r="L30" i="13"/>
  <c r="P30" i="13" s="1"/>
  <c r="L33" i="13"/>
  <c r="P33" i="13" s="1"/>
  <c r="L26" i="13"/>
  <c r="B88" i="16"/>
  <c r="B89" i="16" s="1"/>
  <c r="B90" i="16" s="1"/>
  <c r="B91" i="16" s="1"/>
  <c r="B92" i="16" s="1"/>
  <c r="E92" i="16"/>
  <c r="B100" i="18" l="1"/>
  <c r="B101" i="18" s="1"/>
  <c r="B102" i="18" s="1"/>
  <c r="B103" i="18" s="1"/>
  <c r="B104" i="18" s="1"/>
  <c r="B105" i="18" s="1"/>
  <c r="B106" i="18" s="1"/>
  <c r="B107" i="18" s="1"/>
  <c r="P26" i="17"/>
  <c r="L27" i="17"/>
  <c r="P27" i="17" s="1"/>
  <c r="B94" i="17"/>
  <c r="B98" i="17" s="1"/>
  <c r="B99" i="17" s="1"/>
  <c r="B94" i="13"/>
  <c r="B98" i="13" s="1"/>
  <c r="B99" i="13" s="1"/>
  <c r="E92" i="14"/>
  <c r="P26" i="16"/>
  <c r="L27" i="16"/>
  <c r="P27" i="16" s="1"/>
  <c r="E92" i="15"/>
  <c r="B94" i="16"/>
  <c r="B98" i="16" s="1"/>
  <c r="B99" i="16" s="1"/>
  <c r="L18" i="14"/>
  <c r="P18" i="14" s="1"/>
  <c r="P11" i="14"/>
  <c r="C9" i="10" s="1"/>
  <c r="L30" i="14"/>
  <c r="P30" i="14" s="1"/>
  <c r="L33" i="14"/>
  <c r="P33" i="14" s="1"/>
  <c r="L26" i="14"/>
  <c r="L27" i="13"/>
  <c r="P27" i="13" s="1"/>
  <c r="P26" i="13"/>
  <c r="P26" i="15"/>
  <c r="L27" i="15"/>
  <c r="P27" i="15" s="1"/>
  <c r="B94" i="14"/>
  <c r="B98" i="14" s="1"/>
  <c r="B99" i="14" s="1"/>
  <c r="B94" i="15"/>
  <c r="B98" i="15" s="1"/>
  <c r="B99" i="15" s="1"/>
  <c r="E92" i="17"/>
  <c r="E107" i="18" l="1"/>
  <c r="B109" i="18"/>
  <c r="D111" i="18"/>
  <c r="B100" i="15"/>
  <c r="B101" i="15" s="1"/>
  <c r="B102" i="15" s="1"/>
  <c r="B103" i="15" s="1"/>
  <c r="B104" i="15" s="1"/>
  <c r="B105" i="15" s="1"/>
  <c r="B106" i="15" s="1"/>
  <c r="B107" i="15" s="1"/>
  <c r="L27" i="14"/>
  <c r="P27" i="14" s="1"/>
  <c r="P26" i="14"/>
  <c r="B100" i="14"/>
  <c r="B101" i="14" s="1"/>
  <c r="B102" i="14" s="1"/>
  <c r="B103" i="14" s="1"/>
  <c r="B104" i="14" s="1"/>
  <c r="B105" i="14" s="1"/>
  <c r="B106" i="14" s="1"/>
  <c r="B107" i="14" s="1"/>
  <c r="E107" i="14"/>
  <c r="B100" i="13"/>
  <c r="B101" i="13" s="1"/>
  <c r="B102" i="13" s="1"/>
  <c r="B103" i="13" s="1"/>
  <c r="B104" i="13" s="1"/>
  <c r="B105" i="13" s="1"/>
  <c r="B106" i="13" s="1"/>
  <c r="B107" i="13" s="1"/>
  <c r="B100" i="16"/>
  <c r="B101" i="16" s="1"/>
  <c r="B102" i="16" s="1"/>
  <c r="B103" i="16" s="1"/>
  <c r="B104" i="16" s="1"/>
  <c r="B105" i="16" s="1"/>
  <c r="B106" i="16" s="1"/>
  <c r="B107" i="16" s="1"/>
  <c r="B100" i="17"/>
  <c r="B101" i="17" s="1"/>
  <c r="B102" i="17" s="1"/>
  <c r="B103" i="17" s="1"/>
  <c r="B104" i="17" s="1"/>
  <c r="B105" i="17" s="1"/>
  <c r="B106" i="17" s="1"/>
  <c r="B107" i="17" s="1"/>
  <c r="D287" i="18" l="1"/>
  <c r="B111" i="18"/>
  <c r="B109" i="13"/>
  <c r="D111" i="13"/>
  <c r="E107" i="13"/>
  <c r="B109" i="14"/>
  <c r="D111" i="14"/>
  <c r="E107" i="17"/>
  <c r="B109" i="16"/>
  <c r="D111" i="16"/>
  <c r="B109" i="15"/>
  <c r="D111" i="15"/>
  <c r="B109" i="17"/>
  <c r="D111" i="17"/>
  <c r="E107" i="16"/>
  <c r="E107" i="15"/>
  <c r="B126" i="18" l="1"/>
  <c r="B111" i="16"/>
  <c r="D287" i="16"/>
  <c r="B111" i="14"/>
  <c r="D287" i="14"/>
  <c r="B111" i="17"/>
  <c r="D287" i="17"/>
  <c r="B111" i="15"/>
  <c r="D287" i="15"/>
  <c r="B111" i="13"/>
  <c r="D287" i="13"/>
  <c r="B127" i="18" l="1"/>
  <c r="B128" i="18" s="1"/>
  <c r="B129" i="18" s="1"/>
  <c r="B130" i="18" s="1"/>
  <c r="B126" i="17"/>
  <c r="B126" i="15"/>
  <c r="B126" i="14"/>
  <c r="B126" i="13"/>
  <c r="B126" i="16"/>
  <c r="D285" i="18" l="1"/>
  <c r="E99" i="18"/>
  <c r="B132" i="18"/>
  <c r="E130" i="18"/>
  <c r="B127" i="17"/>
  <c r="B128" i="17" s="1"/>
  <c r="B129" i="17" s="1"/>
  <c r="B130" i="17" s="1"/>
  <c r="E130" i="17"/>
  <c r="B127" i="13"/>
  <c r="B128" i="13" s="1"/>
  <c r="B129" i="13" s="1"/>
  <c r="B130" i="13" s="1"/>
  <c r="E130" i="13"/>
  <c r="B127" i="14"/>
  <c r="B128" i="14" s="1"/>
  <c r="B129" i="14" s="1"/>
  <c r="B130" i="14" s="1"/>
  <c r="E130" i="14"/>
  <c r="B127" i="15"/>
  <c r="B128" i="15" s="1"/>
  <c r="B129" i="15" s="1"/>
  <c r="B130" i="15" s="1"/>
  <c r="E130" i="15"/>
  <c r="B127" i="16"/>
  <c r="B128" i="16" s="1"/>
  <c r="B129" i="16" s="1"/>
  <c r="B130" i="16" s="1"/>
  <c r="B133" i="18" l="1"/>
  <c r="D285" i="15"/>
  <c r="E99" i="15"/>
  <c r="B132" i="15"/>
  <c r="D285" i="16"/>
  <c r="E99" i="16"/>
  <c r="B132" i="16"/>
  <c r="E99" i="14"/>
  <c r="B132" i="14"/>
  <c r="D285" i="14"/>
  <c r="D285" i="13"/>
  <c r="E99" i="13"/>
  <c r="B132" i="13"/>
  <c r="E130" i="16"/>
  <c r="E99" i="17"/>
  <c r="B132" i="17"/>
  <c r="D285" i="17"/>
  <c r="E138" i="18" l="1"/>
  <c r="B134" i="18"/>
  <c r="B135" i="18" s="1"/>
  <c r="B136" i="18" s="1"/>
  <c r="B133" i="16"/>
  <c r="B133" i="17"/>
  <c r="B133" i="14"/>
  <c r="B133" i="15"/>
  <c r="B133" i="13"/>
  <c r="B137" i="18" l="1"/>
  <c r="E137" i="18"/>
  <c r="B134" i="15"/>
  <c r="B135" i="15" s="1"/>
  <c r="B136" i="15" s="1"/>
  <c r="E138" i="15"/>
  <c r="B134" i="14"/>
  <c r="B135" i="14" s="1"/>
  <c r="B136" i="14" s="1"/>
  <c r="B137" i="14" s="1"/>
  <c r="E138" i="14"/>
  <c r="E137" i="14"/>
  <c r="E138" i="17"/>
  <c r="B134" i="17"/>
  <c r="B135" i="17" s="1"/>
  <c r="B136" i="17" s="1"/>
  <c r="B137" i="17" s="1"/>
  <c r="B134" i="13"/>
  <c r="B135" i="13" s="1"/>
  <c r="B136" i="13" s="1"/>
  <c r="B137" i="13" s="1"/>
  <c r="E138" i="13"/>
  <c r="E137" i="13"/>
  <c r="B134" i="16"/>
  <c r="B135" i="16" s="1"/>
  <c r="B136" i="16" s="1"/>
  <c r="E138" i="16"/>
  <c r="B138" i="18" l="1"/>
  <c r="B139" i="18" s="1"/>
  <c r="B140" i="18" s="1"/>
  <c r="B141" i="18" s="1"/>
  <c r="B143" i="18" s="1"/>
  <c r="E143" i="18"/>
  <c r="B138" i="17"/>
  <c r="B139" i="17" s="1"/>
  <c r="B140" i="17" s="1"/>
  <c r="B141" i="17" s="1"/>
  <c r="B143" i="17" s="1"/>
  <c r="B137" i="16"/>
  <c r="E137" i="16"/>
  <c r="B138" i="14"/>
  <c r="B139" i="14" s="1"/>
  <c r="B140" i="14" s="1"/>
  <c r="B141" i="14" s="1"/>
  <c r="B143" i="14" s="1"/>
  <c r="E137" i="17"/>
  <c r="E143" i="13"/>
  <c r="B138" i="13"/>
  <c r="B139" i="13" s="1"/>
  <c r="B140" i="13" s="1"/>
  <c r="B141" i="13" s="1"/>
  <c r="B143" i="13" s="1"/>
  <c r="B137" i="15"/>
  <c r="E137" i="15"/>
  <c r="B144" i="18" l="1"/>
  <c r="E144" i="18"/>
  <c r="B144" i="14"/>
  <c r="E144" i="14"/>
  <c r="B144" i="17"/>
  <c r="E144" i="17"/>
  <c r="E143" i="14"/>
  <c r="B138" i="16"/>
  <c r="B139" i="16" s="1"/>
  <c r="B140" i="16" s="1"/>
  <c r="B141" i="16" s="1"/>
  <c r="B143" i="16" s="1"/>
  <c r="E143" i="15"/>
  <c r="B138" i="15"/>
  <c r="B139" i="15" s="1"/>
  <c r="B140" i="15" s="1"/>
  <c r="B141" i="15" s="1"/>
  <c r="B143" i="15" s="1"/>
  <c r="B144" i="13"/>
  <c r="E144" i="13"/>
  <c r="E143" i="17"/>
  <c r="B146" i="18" l="1"/>
  <c r="B147" i="18" s="1"/>
  <c r="B144" i="16"/>
  <c r="E144" i="16"/>
  <c r="E143" i="16"/>
  <c r="B146" i="17"/>
  <c r="B147" i="17" s="1"/>
  <c r="B146" i="13"/>
  <c r="B147" i="13" s="1"/>
  <c r="B144" i="15"/>
  <c r="E144" i="15"/>
  <c r="B146" i="14"/>
  <c r="B147" i="14" s="1"/>
  <c r="B148" i="18" l="1"/>
  <c r="B150" i="18" s="1"/>
  <c r="B151" i="18" s="1"/>
  <c r="E30" i="18"/>
  <c r="B146" i="15"/>
  <c r="B147" i="15" s="1"/>
  <c r="B148" i="13"/>
  <c r="B150" i="13" s="1"/>
  <c r="B151" i="13" s="1"/>
  <c r="E151" i="13"/>
  <c r="E30" i="13"/>
  <c r="B148" i="17"/>
  <c r="B150" i="17" s="1"/>
  <c r="B151" i="17" s="1"/>
  <c r="E30" i="17"/>
  <c r="E30" i="14"/>
  <c r="B148" i="14"/>
  <c r="B150" i="14" s="1"/>
  <c r="B151" i="14" s="1"/>
  <c r="E151" i="14"/>
  <c r="B146" i="16"/>
  <c r="B147" i="16" s="1"/>
  <c r="B153" i="18" l="1"/>
  <c r="B154" i="18" s="1"/>
  <c r="B155" i="18" s="1"/>
  <c r="E151" i="18"/>
  <c r="B153" i="14"/>
  <c r="B154" i="14" s="1"/>
  <c r="B155" i="14" s="1"/>
  <c r="B153" i="17"/>
  <c r="B154" i="17" s="1"/>
  <c r="B155" i="17" s="1"/>
  <c r="E30" i="15"/>
  <c r="B148" i="15"/>
  <c r="B150" i="15" s="1"/>
  <c r="B151" i="15" s="1"/>
  <c r="E151" i="15"/>
  <c r="B148" i="16"/>
  <c r="B150" i="16" s="1"/>
  <c r="B151" i="16" s="1"/>
  <c r="E151" i="16"/>
  <c r="E30" i="16"/>
  <c r="B153" i="13"/>
  <c r="B154" i="13" s="1"/>
  <c r="B155" i="13" s="1"/>
  <c r="E151" i="17"/>
  <c r="B156" i="18" l="1"/>
  <c r="B157" i="18" s="1"/>
  <c r="B158" i="18" s="1"/>
  <c r="B159" i="18" s="1"/>
  <c r="B160" i="18" s="1"/>
  <c r="E160" i="18"/>
  <c r="B156" i="13"/>
  <c r="B157" i="13" s="1"/>
  <c r="B158" i="13" s="1"/>
  <c r="B159" i="13" s="1"/>
  <c r="B160" i="13" s="1"/>
  <c r="E160" i="13"/>
  <c r="B153" i="15"/>
  <c r="B154" i="15" s="1"/>
  <c r="B155" i="15" s="1"/>
  <c r="B156" i="17"/>
  <c r="B157" i="17" s="1"/>
  <c r="B158" i="17" s="1"/>
  <c r="B159" i="17" s="1"/>
  <c r="B160" i="17" s="1"/>
  <c r="E160" i="17"/>
  <c r="B153" i="16"/>
  <c r="B154" i="16" s="1"/>
  <c r="B155" i="16" s="1"/>
  <c r="B156" i="14"/>
  <c r="B157" i="14" s="1"/>
  <c r="B158" i="14" s="1"/>
  <c r="B159" i="14" s="1"/>
  <c r="B160" i="14" s="1"/>
  <c r="E160" i="14"/>
  <c r="B162" i="18" l="1"/>
  <c r="B163" i="18" s="1"/>
  <c r="B156" i="16"/>
  <c r="B157" i="16" s="1"/>
  <c r="B158" i="16" s="1"/>
  <c r="B159" i="16" s="1"/>
  <c r="B160" i="16" s="1"/>
  <c r="B162" i="17"/>
  <c r="B163" i="17" s="1"/>
  <c r="B156" i="15"/>
  <c r="B157" i="15" s="1"/>
  <c r="B158" i="15" s="1"/>
  <c r="B159" i="15" s="1"/>
  <c r="B160" i="15" s="1"/>
  <c r="E160" i="15"/>
  <c r="B162" i="14"/>
  <c r="B163" i="14" s="1"/>
  <c r="B162" i="13"/>
  <c r="B163" i="13" s="1"/>
  <c r="B164" i="18" l="1"/>
  <c r="D312" i="18"/>
  <c r="D167" i="18"/>
  <c r="B162" i="15"/>
  <c r="B163" i="15" s="1"/>
  <c r="B162" i="16"/>
  <c r="B163" i="16" s="1"/>
  <c r="D167" i="14"/>
  <c r="D312" i="14"/>
  <c r="B164" i="14"/>
  <c r="D312" i="17"/>
  <c r="D167" i="17"/>
  <c r="B164" i="17"/>
  <c r="D312" i="13"/>
  <c r="B164" i="13"/>
  <c r="D167" i="13"/>
  <c r="E160" i="16"/>
  <c r="B165" i="18" l="1"/>
  <c r="B166" i="18" s="1"/>
  <c r="B167" i="18" s="1"/>
  <c r="B165" i="14"/>
  <c r="B166" i="14" s="1"/>
  <c r="B167" i="14" s="1"/>
  <c r="B165" i="13"/>
  <c r="B166" i="13" s="1"/>
  <c r="B167" i="13" s="1"/>
  <c r="D312" i="16"/>
  <c r="B164" i="16"/>
  <c r="D167" i="16"/>
  <c r="B165" i="17"/>
  <c r="B166" i="17" s="1"/>
  <c r="B167" i="17" s="1"/>
  <c r="D312" i="15"/>
  <c r="D167" i="15"/>
  <c r="B164" i="15"/>
  <c r="B168" i="18" l="1"/>
  <c r="B170" i="18" s="1"/>
  <c r="B165" i="15"/>
  <c r="B166" i="15" s="1"/>
  <c r="B167" i="15" s="1"/>
  <c r="B168" i="17"/>
  <c r="B170" i="17" s="1"/>
  <c r="E171" i="17"/>
  <c r="B165" i="16"/>
  <c r="B166" i="16" s="1"/>
  <c r="B167" i="16" s="1"/>
  <c r="B168" i="13"/>
  <c r="B170" i="13" s="1"/>
  <c r="E171" i="13"/>
  <c r="B168" i="14"/>
  <c r="B170" i="14" s="1"/>
  <c r="E171" i="14"/>
  <c r="B171" i="18" l="1"/>
  <c r="B172" i="18" s="1"/>
  <c r="E171" i="18"/>
  <c r="B171" i="17"/>
  <c r="B172" i="17" s="1"/>
  <c r="B171" i="13"/>
  <c r="B172" i="13" s="1"/>
  <c r="B168" i="16"/>
  <c r="B170" i="16" s="1"/>
  <c r="E172" i="14"/>
  <c r="B171" i="14"/>
  <c r="B172" i="14" s="1"/>
  <c r="B168" i="15"/>
  <c r="B170" i="15" s="1"/>
  <c r="E171" i="15"/>
  <c r="E172" i="18" l="1"/>
  <c r="B174" i="18"/>
  <c r="E33" i="18"/>
  <c r="B171" i="16"/>
  <c r="B172" i="16" s="1"/>
  <c r="E172" i="16"/>
  <c r="E172" i="13"/>
  <c r="B174" i="14"/>
  <c r="E33" i="14"/>
  <c r="E171" i="16"/>
  <c r="B174" i="13"/>
  <c r="B174" i="17"/>
  <c r="E33" i="17"/>
  <c r="B171" i="15"/>
  <c r="B172" i="15" s="1"/>
  <c r="E172" i="17"/>
  <c r="B176" i="18" l="1"/>
  <c r="E170" i="18"/>
  <c r="B174" i="15"/>
  <c r="E33" i="15"/>
  <c r="B176" i="13"/>
  <c r="E170" i="13"/>
  <c r="B176" i="14"/>
  <c r="E170" i="14"/>
  <c r="E172" i="15"/>
  <c r="B176" i="17"/>
  <c r="E170" i="17"/>
  <c r="D179" i="13"/>
  <c r="E33" i="13"/>
  <c r="B174" i="16"/>
  <c r="E33" i="16"/>
  <c r="D289" i="18" l="1"/>
  <c r="B178" i="18"/>
  <c r="D179" i="18"/>
  <c r="D289" i="14"/>
  <c r="B178" i="14"/>
  <c r="D179" i="14"/>
  <c r="D289" i="13"/>
  <c r="B178" i="13"/>
  <c r="B176" i="16"/>
  <c r="E170" i="16"/>
  <c r="D289" i="17"/>
  <c r="B178" i="17"/>
  <c r="D179" i="17"/>
  <c r="B176" i="15"/>
  <c r="E170" i="15"/>
  <c r="E11" i="18" l="1"/>
  <c r="B179" i="18"/>
  <c r="B181" i="18" s="1"/>
  <c r="B183" i="18" s="1"/>
  <c r="B196" i="18" s="1"/>
  <c r="B178" i="16"/>
  <c r="D289" i="16"/>
  <c r="D179" i="16"/>
  <c r="B179" i="14"/>
  <c r="B181" i="14" s="1"/>
  <c r="B183" i="14" s="1"/>
  <c r="B196" i="14" s="1"/>
  <c r="E11" i="14"/>
  <c r="E11" i="13"/>
  <c r="B179" i="13"/>
  <c r="B181" i="13" s="1"/>
  <c r="B183" i="13" s="1"/>
  <c r="B196" i="13" s="1"/>
  <c r="B178" i="15"/>
  <c r="D289" i="15"/>
  <c r="D179" i="15"/>
  <c r="E11" i="17"/>
  <c r="B179" i="17"/>
  <c r="B181" i="17" s="1"/>
  <c r="B183" i="17" s="1"/>
  <c r="B196" i="17" s="1"/>
  <c r="B197" i="18" l="1"/>
  <c r="B198" i="18" s="1"/>
  <c r="B199" i="18" s="1"/>
  <c r="E199" i="18"/>
  <c r="B197" i="13"/>
  <c r="B198" i="13" s="1"/>
  <c r="B199" i="13" s="1"/>
  <c r="E199" i="13"/>
  <c r="B197" i="17"/>
  <c r="B198" i="17" s="1"/>
  <c r="B199" i="17" s="1"/>
  <c r="E199" i="17"/>
  <c r="B197" i="14"/>
  <c r="B198" i="14" s="1"/>
  <c r="B199" i="14" s="1"/>
  <c r="E199" i="14"/>
  <c r="E11" i="15"/>
  <c r="B179" i="15"/>
  <c r="B181" i="15" s="1"/>
  <c r="B183" i="15" s="1"/>
  <c r="B196" i="15" s="1"/>
  <c r="E11" i="16"/>
  <c r="B179" i="16"/>
  <c r="B181" i="16" s="1"/>
  <c r="B183" i="16" s="1"/>
  <c r="B196" i="16" s="1"/>
  <c r="E201" i="18" l="1"/>
  <c r="E56" i="18"/>
  <c r="B201" i="18"/>
  <c r="B203" i="18" s="1"/>
  <c r="B204" i="18" s="1"/>
  <c r="E56" i="17"/>
  <c r="E201" i="17"/>
  <c r="B201" i="17"/>
  <c r="B203" i="17" s="1"/>
  <c r="B204" i="17" s="1"/>
  <c r="B197" i="15"/>
  <c r="B198" i="15" s="1"/>
  <c r="B199" i="15" s="1"/>
  <c r="E199" i="15"/>
  <c r="E56" i="14"/>
  <c r="B201" i="14"/>
  <c r="B203" i="14" s="1"/>
  <c r="B204" i="14" s="1"/>
  <c r="E201" i="14"/>
  <c r="B197" i="16"/>
  <c r="B198" i="16" s="1"/>
  <c r="B199" i="16" s="1"/>
  <c r="E56" i="13"/>
  <c r="B201" i="13"/>
  <c r="B203" i="13" s="1"/>
  <c r="B204" i="13" s="1"/>
  <c r="E201" i="13"/>
  <c r="B205" i="18" l="1"/>
  <c r="B206" i="18" s="1"/>
  <c r="B207" i="18" s="1"/>
  <c r="B208" i="18" s="1"/>
  <c r="B209" i="18" s="1"/>
  <c r="B211" i="18" s="1"/>
  <c r="B214" i="18" s="1"/>
  <c r="B215" i="18" s="1"/>
  <c r="B216" i="18" s="1"/>
  <c r="B217" i="18" s="1"/>
  <c r="B218" i="18" s="1"/>
  <c r="B205" i="13"/>
  <c r="B206" i="13" s="1"/>
  <c r="B207" i="13" s="1"/>
  <c r="B208" i="13" s="1"/>
  <c r="B209" i="13" s="1"/>
  <c r="B211" i="13" s="1"/>
  <c r="B214" i="13" s="1"/>
  <c r="B215" i="13" s="1"/>
  <c r="B216" i="13" s="1"/>
  <c r="B217" i="13" s="1"/>
  <c r="B218" i="13" s="1"/>
  <c r="E56" i="15"/>
  <c r="B201" i="15"/>
  <c r="B203" i="15" s="1"/>
  <c r="B204" i="15" s="1"/>
  <c r="E201" i="15"/>
  <c r="B205" i="17"/>
  <c r="B206" i="17" s="1"/>
  <c r="B207" i="17" s="1"/>
  <c r="B208" i="17" s="1"/>
  <c r="B209" i="17" s="1"/>
  <c r="B211" i="17" s="1"/>
  <c r="B214" i="17" s="1"/>
  <c r="B215" i="17" s="1"/>
  <c r="B216" i="17" s="1"/>
  <c r="B217" i="17" s="1"/>
  <c r="B218" i="17" s="1"/>
  <c r="E199" i="16"/>
  <c r="B205" i="14"/>
  <c r="B206" i="14" s="1"/>
  <c r="B207" i="14" s="1"/>
  <c r="B208" i="14" s="1"/>
  <c r="B209" i="14" s="1"/>
  <c r="B211" i="14" s="1"/>
  <c r="B214" i="14" s="1"/>
  <c r="B215" i="14" s="1"/>
  <c r="B216" i="14" s="1"/>
  <c r="B217" i="14" s="1"/>
  <c r="B218" i="14" s="1"/>
  <c r="E209" i="14"/>
  <c r="E56" i="16"/>
  <c r="B201" i="16"/>
  <c r="B203" i="16" s="1"/>
  <c r="B204" i="16" s="1"/>
  <c r="E201" i="16"/>
  <c r="E209" i="18" l="1"/>
  <c r="B219" i="18"/>
  <c r="B220" i="18" s="1"/>
  <c r="B221" i="18" s="1"/>
  <c r="B222" i="18" s="1"/>
  <c r="B219" i="17"/>
  <c r="B220" i="17" s="1"/>
  <c r="B221" i="17" s="1"/>
  <c r="B222" i="17" s="1"/>
  <c r="B205" i="16"/>
  <c r="B206" i="16" s="1"/>
  <c r="B207" i="16" s="1"/>
  <c r="B208" i="16" s="1"/>
  <c r="B209" i="16" s="1"/>
  <c r="B211" i="16" s="1"/>
  <c r="B214" i="16" s="1"/>
  <c r="B215" i="16" s="1"/>
  <c r="B216" i="16" s="1"/>
  <c r="B217" i="16" s="1"/>
  <c r="B218" i="16" s="1"/>
  <c r="B205" i="15"/>
  <c r="B206" i="15" s="1"/>
  <c r="B207" i="15" s="1"/>
  <c r="B208" i="15" s="1"/>
  <c r="B209" i="15" s="1"/>
  <c r="B211" i="15" s="1"/>
  <c r="B214" i="15" s="1"/>
  <c r="B215" i="15" s="1"/>
  <c r="B216" i="15" s="1"/>
  <c r="B217" i="15" s="1"/>
  <c r="B218" i="15" s="1"/>
  <c r="E222" i="13"/>
  <c r="B219" i="13"/>
  <c r="B220" i="13" s="1"/>
  <c r="B221" i="13" s="1"/>
  <c r="B222" i="13" s="1"/>
  <c r="E209" i="17"/>
  <c r="B219" i="14"/>
  <c r="B220" i="14" s="1"/>
  <c r="B221" i="14" s="1"/>
  <c r="B222" i="14" s="1"/>
  <c r="E209" i="13"/>
  <c r="E222" i="18" l="1"/>
  <c r="B224" i="18"/>
  <c r="B225" i="18" s="1"/>
  <c r="D227" i="18"/>
  <c r="D227" i="13"/>
  <c r="B224" i="13"/>
  <c r="B225" i="13" s="1"/>
  <c r="E209" i="15"/>
  <c r="B219" i="15"/>
  <c r="B220" i="15" s="1"/>
  <c r="B221" i="15" s="1"/>
  <c r="B222" i="15" s="1"/>
  <c r="E222" i="15"/>
  <c r="B219" i="16"/>
  <c r="B220" i="16" s="1"/>
  <c r="B221" i="16" s="1"/>
  <c r="B222" i="16" s="1"/>
  <c r="E222" i="16"/>
  <c r="E209" i="16"/>
  <c r="D227" i="17"/>
  <c r="B224" i="17"/>
  <c r="B225" i="17" s="1"/>
  <c r="D227" i="14"/>
  <c r="B224" i="14"/>
  <c r="B225" i="14" s="1"/>
  <c r="E222" i="14"/>
  <c r="E222" i="17"/>
  <c r="B226" i="18" l="1"/>
  <c r="B224" i="16"/>
  <c r="B225" i="16" s="1"/>
  <c r="D227" i="16"/>
  <c r="B226" i="14"/>
  <c r="D227" i="15"/>
  <c r="B224" i="15"/>
  <c r="B225" i="15" s="1"/>
  <c r="B226" i="17"/>
  <c r="B226" i="13"/>
  <c r="D219" i="18" l="1"/>
  <c r="B227" i="18"/>
  <c r="B227" i="17"/>
  <c r="D219" i="17"/>
  <c r="B226" i="15"/>
  <c r="B227" i="14"/>
  <c r="D219" i="14"/>
  <c r="B227" i="13"/>
  <c r="D219" i="13"/>
  <c r="B226" i="16"/>
  <c r="B228" i="18" l="1"/>
  <c r="D228" i="18"/>
  <c r="B228" i="13"/>
  <c r="D228" i="13"/>
  <c r="B227" i="15"/>
  <c r="D219" i="15"/>
  <c r="B228" i="14"/>
  <c r="D228" i="14"/>
  <c r="D219" i="16"/>
  <c r="B227" i="16"/>
  <c r="B228" i="17"/>
  <c r="D228" i="17"/>
  <c r="B230" i="18" l="1"/>
  <c r="B233" i="18" s="1"/>
  <c r="B234" i="18" s="1"/>
  <c r="E174" i="18"/>
  <c r="D165" i="18"/>
  <c r="B228" i="15"/>
  <c r="D228" i="15"/>
  <c r="B230" i="14"/>
  <c r="B233" i="14" s="1"/>
  <c r="B234" i="14" s="1"/>
  <c r="E174" i="14"/>
  <c r="D165" i="14"/>
  <c r="B228" i="16"/>
  <c r="D228" i="16"/>
  <c r="B230" i="17"/>
  <c r="B233" i="17" s="1"/>
  <c r="B234" i="17" s="1"/>
  <c r="E174" i="17"/>
  <c r="D165" i="17"/>
  <c r="B230" i="13"/>
  <c r="B233" i="13" s="1"/>
  <c r="B234" i="13" s="1"/>
  <c r="E174" i="13"/>
  <c r="D165" i="13"/>
  <c r="B235" i="18" l="1"/>
  <c r="B236" i="18" s="1"/>
  <c r="B237" i="18" s="1"/>
  <c r="B235" i="17"/>
  <c r="B236" i="17" s="1"/>
  <c r="B237" i="17" s="1"/>
  <c r="B230" i="16"/>
  <c r="B233" i="16" s="1"/>
  <c r="B234" i="16" s="1"/>
  <c r="E174" i="16"/>
  <c r="D165" i="16"/>
  <c r="B235" i="13"/>
  <c r="B236" i="13" s="1"/>
  <c r="B237" i="13" s="1"/>
  <c r="B235" i="14"/>
  <c r="B236" i="14" s="1"/>
  <c r="B237" i="14" s="1"/>
  <c r="B230" i="15"/>
  <c r="B233" i="15" s="1"/>
  <c r="B234" i="15" s="1"/>
  <c r="E174" i="15"/>
  <c r="D165" i="15"/>
  <c r="B238" i="18" l="1"/>
  <c r="B239" i="18" s="1"/>
  <c r="B240" i="18" s="1"/>
  <c r="B241" i="18" s="1"/>
  <c r="B238" i="13"/>
  <c r="B239" i="13" s="1"/>
  <c r="B240" i="13" s="1"/>
  <c r="B241" i="13" s="1"/>
  <c r="E241" i="13"/>
  <c r="B235" i="16"/>
  <c r="B236" i="16" s="1"/>
  <c r="B237" i="16" s="1"/>
  <c r="B235" i="15"/>
  <c r="B236" i="15" s="1"/>
  <c r="B237" i="15" s="1"/>
  <c r="B238" i="14"/>
  <c r="B239" i="14" s="1"/>
  <c r="B240" i="14" s="1"/>
  <c r="B241" i="14" s="1"/>
  <c r="E241" i="14"/>
  <c r="B238" i="17"/>
  <c r="B239" i="17" s="1"/>
  <c r="B240" i="17" s="1"/>
  <c r="B241" i="17" s="1"/>
  <c r="D246" i="18" l="1"/>
  <c r="B243" i="18"/>
  <c r="B244" i="18" s="1"/>
  <c r="E241" i="18"/>
  <c r="B243" i="14"/>
  <c r="B244" i="14" s="1"/>
  <c r="D246" i="14"/>
  <c r="B238" i="16"/>
  <c r="B239" i="16" s="1"/>
  <c r="B240" i="16" s="1"/>
  <c r="B241" i="16" s="1"/>
  <c r="E241" i="16"/>
  <c r="B238" i="15"/>
  <c r="B239" i="15" s="1"/>
  <c r="B240" i="15" s="1"/>
  <c r="B241" i="15" s="1"/>
  <c r="E241" i="15"/>
  <c r="B243" i="17"/>
  <c r="B244" i="17" s="1"/>
  <c r="D246" i="17"/>
  <c r="E241" i="17"/>
  <c r="D246" i="13"/>
  <c r="B243" i="13"/>
  <c r="B244" i="13" s="1"/>
  <c r="B245" i="18" l="1"/>
  <c r="D328" i="18"/>
  <c r="B245" i="17"/>
  <c r="D328" i="17"/>
  <c r="D246" i="15"/>
  <c r="B243" i="15"/>
  <c r="B244" i="15" s="1"/>
  <c r="B245" i="13"/>
  <c r="D328" i="13"/>
  <c r="D246" i="16"/>
  <c r="B243" i="16"/>
  <c r="B244" i="16" s="1"/>
  <c r="B245" i="14"/>
  <c r="D328" i="14"/>
  <c r="D238" i="18" l="1"/>
  <c r="B246" i="18"/>
  <c r="D238" i="13"/>
  <c r="B246" i="13"/>
  <c r="B246" i="14"/>
  <c r="D238" i="14"/>
  <c r="B245" i="16"/>
  <c r="D328" i="16"/>
  <c r="B246" i="17"/>
  <c r="D238" i="17"/>
  <c r="B245" i="15"/>
  <c r="D328" i="15"/>
  <c r="B247" i="18" l="1"/>
  <c r="B249" i="18" s="1"/>
  <c r="D247" i="18"/>
  <c r="B247" i="17"/>
  <c r="B249" i="17" s="1"/>
  <c r="D247" i="17"/>
  <c r="B246" i="15"/>
  <c r="D238" i="15"/>
  <c r="B247" i="14"/>
  <c r="B249" i="14" s="1"/>
  <c r="D247" i="14"/>
  <c r="B247" i="13"/>
  <c r="B249" i="13" s="1"/>
  <c r="D247" i="13"/>
  <c r="D238" i="16"/>
  <c r="B246" i="16"/>
  <c r="B247" i="15" l="1"/>
  <c r="B249" i="15" s="1"/>
  <c r="D247" i="15"/>
  <c r="B247" i="16"/>
  <c r="B249" i="16" s="1"/>
  <c r="D247" i="16"/>
  <c r="C834" i="11" l="1"/>
  <c r="D94" i="12"/>
  <c r="D95" i="12"/>
  <c r="D96" i="12"/>
  <c r="D97" i="12"/>
  <c r="D98" i="12"/>
  <c r="D93" i="12"/>
  <c r="C94" i="12"/>
  <c r="C95" i="12"/>
  <c r="C96" i="12"/>
  <c r="C97" i="12"/>
  <c r="C98" i="12"/>
  <c r="C93" i="12"/>
  <c r="B94" i="12"/>
  <c r="B95" i="12"/>
  <c r="B96" i="12"/>
  <c r="B97" i="12"/>
  <c r="B98" i="12"/>
  <c r="B93" i="12"/>
  <c r="D82" i="12"/>
  <c r="D83" i="12"/>
  <c r="D84" i="12"/>
  <c r="D85" i="12"/>
  <c r="D86" i="12"/>
  <c r="D87" i="12"/>
  <c r="D88" i="12"/>
  <c r="D89" i="12"/>
  <c r="D90" i="12"/>
  <c r="D91" i="12"/>
  <c r="D92" i="12"/>
  <c r="D81" i="12"/>
  <c r="C87" i="12"/>
  <c r="C88" i="12"/>
  <c r="C89" i="12"/>
  <c r="C90" i="12"/>
  <c r="C91" i="12"/>
  <c r="C92" i="12"/>
  <c r="B82" i="12"/>
  <c r="B83" i="12"/>
  <c r="B84" i="12"/>
  <c r="B85" i="12"/>
  <c r="B86" i="12"/>
  <c r="B87" i="12"/>
  <c r="B88" i="12"/>
  <c r="B89" i="12"/>
  <c r="B90" i="12"/>
  <c r="B91" i="12"/>
  <c r="B92" i="12"/>
  <c r="B81" i="12"/>
  <c r="D10" i="12"/>
  <c r="D80" i="12" s="1"/>
  <c r="D9" i="12"/>
  <c r="D8" i="12"/>
  <c r="D7" i="12"/>
  <c r="D6" i="12"/>
  <c r="C82" i="12" l="1"/>
  <c r="C86" i="12"/>
  <c r="C85" i="12"/>
  <c r="C84" i="12"/>
  <c r="C83" i="12"/>
  <c r="C81" i="12"/>
  <c r="B80" i="12"/>
  <c r="C80" i="12" s="1"/>
  <c r="B79" i="12"/>
  <c r="C79" i="12" s="1"/>
  <c r="B78" i="12"/>
  <c r="C78" i="12" s="1"/>
  <c r="B77" i="12"/>
  <c r="C77" i="12" s="1"/>
  <c r="B76" i="12"/>
  <c r="C76" i="12" s="1"/>
  <c r="B75" i="12"/>
  <c r="C75" i="12" s="1"/>
  <c r="B74" i="12"/>
  <c r="C74" i="12" s="1"/>
  <c r="B73" i="12"/>
  <c r="C73" i="12" s="1"/>
  <c r="B72" i="12"/>
  <c r="C72" i="12" s="1"/>
  <c r="B71" i="12"/>
  <c r="C71" i="12" s="1"/>
  <c r="B70" i="12"/>
  <c r="C70" i="12" s="1"/>
  <c r="B69" i="12"/>
  <c r="C69" i="12" s="1"/>
  <c r="B68" i="12"/>
  <c r="C68" i="12" s="1"/>
  <c r="B67" i="12"/>
  <c r="C67" i="12" s="1"/>
  <c r="B66" i="12"/>
  <c r="C66" i="12" s="1"/>
  <c r="B65" i="12"/>
  <c r="C65" i="12" s="1"/>
  <c r="B64" i="12"/>
  <c r="C64" i="12" s="1"/>
  <c r="B63" i="12"/>
  <c r="C63" i="12" s="1"/>
  <c r="B62" i="12"/>
  <c r="C62" i="12" s="1"/>
  <c r="B61" i="12"/>
  <c r="C61" i="12" s="1"/>
  <c r="B60" i="12"/>
  <c r="C60" i="12" s="1"/>
  <c r="B59" i="12"/>
  <c r="C59" i="12" s="1"/>
  <c r="B58" i="12"/>
  <c r="C58" i="12" s="1"/>
  <c r="B57" i="12"/>
  <c r="C57" i="12" s="1"/>
  <c r="B56" i="12"/>
  <c r="C56" i="12" s="1"/>
  <c r="B55" i="12"/>
  <c r="C55" i="12" s="1"/>
  <c r="B54" i="12"/>
  <c r="C54" i="12" s="1"/>
  <c r="B53" i="12"/>
  <c r="C53" i="12" s="1"/>
  <c r="B52" i="12"/>
  <c r="C52" i="12" s="1"/>
  <c r="B51" i="12"/>
  <c r="C51" i="12" s="1"/>
  <c r="B50" i="12"/>
  <c r="C50" i="12" s="1"/>
  <c r="B49" i="12"/>
  <c r="C49" i="12" s="1"/>
  <c r="B48" i="12"/>
  <c r="C48" i="12" s="1"/>
  <c r="B47" i="12"/>
  <c r="C47" i="12" s="1"/>
  <c r="B46" i="12"/>
  <c r="C46" i="12" s="1"/>
  <c r="B45" i="12"/>
  <c r="C45" i="12" s="1"/>
  <c r="B34" i="12"/>
  <c r="C34" i="12" s="1"/>
  <c r="B35" i="12"/>
  <c r="C35" i="12" s="1"/>
  <c r="B36" i="12"/>
  <c r="C36" i="12" s="1"/>
  <c r="B37" i="12"/>
  <c r="C37" i="12" s="1"/>
  <c r="B38" i="12"/>
  <c r="C38" i="12" s="1"/>
  <c r="B39" i="12"/>
  <c r="C39" i="12" s="1"/>
  <c r="B40" i="12"/>
  <c r="C40" i="12" s="1"/>
  <c r="B41" i="12"/>
  <c r="C41" i="12" s="1"/>
  <c r="B42" i="12"/>
  <c r="C42" i="12" s="1"/>
  <c r="B43" i="12"/>
  <c r="C43" i="12" s="1"/>
  <c r="B44" i="12"/>
  <c r="C44" i="12" s="1"/>
  <c r="B33" i="12"/>
  <c r="C33" i="12" s="1"/>
  <c r="B22" i="12"/>
  <c r="C22" i="12" s="1"/>
  <c r="B23" i="12"/>
  <c r="C23" i="12" s="1"/>
  <c r="B24" i="12"/>
  <c r="C24" i="12" s="1"/>
  <c r="B25" i="12"/>
  <c r="C25" i="12" s="1"/>
  <c r="B26" i="12"/>
  <c r="C26" i="12" s="1"/>
  <c r="B27" i="12"/>
  <c r="C27" i="12" s="1"/>
  <c r="B28" i="12"/>
  <c r="C28" i="12" s="1"/>
  <c r="B29" i="12"/>
  <c r="C29" i="12" s="1"/>
  <c r="B30" i="12"/>
  <c r="C30" i="12" s="1"/>
  <c r="B31" i="12"/>
  <c r="C31" i="12" s="1"/>
  <c r="B32" i="12"/>
  <c r="C32" i="12" s="1"/>
  <c r="B21" i="12"/>
  <c r="C21" i="12" s="1"/>
  <c r="J21" i="12"/>
  <c r="E1165" i="11" l="1"/>
  <c r="A1165" i="11"/>
  <c r="E1164" i="11"/>
  <c r="A1164" i="11"/>
  <c r="F1163" i="11"/>
  <c r="F1164" i="11" s="1"/>
  <c r="F1165" i="11" s="1"/>
  <c r="E1163" i="11"/>
  <c r="A1163" i="11"/>
  <c r="E1162" i="11"/>
  <c r="A1162" i="11"/>
  <c r="E1161" i="11"/>
  <c r="A1161" i="11"/>
  <c r="F1160" i="11"/>
  <c r="F1161" i="11" s="1"/>
  <c r="F1162" i="11" s="1"/>
  <c r="E1160" i="11"/>
  <c r="A1160" i="11"/>
  <c r="E1159" i="11"/>
  <c r="A1159" i="11"/>
  <c r="E1158" i="11"/>
  <c r="A1158" i="11"/>
  <c r="F1157" i="11"/>
  <c r="F1158" i="11" s="1"/>
  <c r="F1159" i="11" s="1"/>
  <c r="E1157" i="11"/>
  <c r="A1157" i="11"/>
  <c r="E1156" i="11"/>
  <c r="A1156" i="11"/>
  <c r="E1155" i="11"/>
  <c r="A1155" i="11"/>
  <c r="F1154" i="11"/>
  <c r="F1155" i="11" s="1"/>
  <c r="F1156" i="11" s="1"/>
  <c r="E1154" i="11"/>
  <c r="A1154" i="11"/>
  <c r="E1153" i="11"/>
  <c r="A1153" i="11"/>
  <c r="E1152" i="11"/>
  <c r="A1152" i="11"/>
  <c r="F1151" i="11"/>
  <c r="F1152" i="11" s="1"/>
  <c r="F1153" i="11" s="1"/>
  <c r="E1151" i="11"/>
  <c r="A1151" i="11"/>
  <c r="E1150" i="11"/>
  <c r="A1150" i="11"/>
  <c r="E1149" i="11"/>
  <c r="A1149" i="11"/>
  <c r="F1148" i="11"/>
  <c r="F1149" i="11" s="1"/>
  <c r="F1150" i="11" s="1"/>
  <c r="E1148" i="11"/>
  <c r="A1148" i="11"/>
  <c r="E1147" i="11"/>
  <c r="A1147" i="11"/>
  <c r="E1146" i="11"/>
  <c r="A1146" i="11"/>
  <c r="F1145" i="11"/>
  <c r="F1146" i="11" s="1"/>
  <c r="F1147" i="11" s="1"/>
  <c r="E1145" i="11"/>
  <c r="A1145" i="11"/>
  <c r="E1144" i="11"/>
  <c r="A1144" i="11"/>
  <c r="E1143" i="11"/>
  <c r="A1143" i="11"/>
  <c r="F1142" i="11"/>
  <c r="F1143" i="11" s="1"/>
  <c r="F1144" i="11" s="1"/>
  <c r="E1142" i="11"/>
  <c r="A1142" i="11"/>
  <c r="E1141" i="11"/>
  <c r="A1141" i="11"/>
  <c r="E1140" i="11"/>
  <c r="A1140" i="11"/>
  <c r="F1139" i="11"/>
  <c r="F1140" i="11" s="1"/>
  <c r="F1141" i="11" s="1"/>
  <c r="E1139" i="11"/>
  <c r="A1139" i="11"/>
  <c r="E1138" i="11"/>
  <c r="A1138" i="11"/>
  <c r="E1137" i="11"/>
  <c r="A1137" i="11"/>
  <c r="F1136" i="11"/>
  <c r="F1137" i="11" s="1"/>
  <c r="F1138" i="11" s="1"/>
  <c r="E1136" i="11"/>
  <c r="A1136" i="11"/>
  <c r="E1135" i="11"/>
  <c r="A1135" i="11"/>
  <c r="E1134" i="11"/>
  <c r="A1134" i="11"/>
  <c r="F1133" i="11"/>
  <c r="F1134" i="11" s="1"/>
  <c r="F1135" i="11" s="1"/>
  <c r="E1133" i="11"/>
  <c r="A1133" i="11"/>
  <c r="E1132" i="11"/>
  <c r="A1132" i="11"/>
  <c r="E1131" i="11"/>
  <c r="A1131" i="11"/>
  <c r="F1130" i="11"/>
  <c r="F1131" i="11" s="1"/>
  <c r="F1132" i="11" s="1"/>
  <c r="E1130" i="11"/>
  <c r="A1130" i="11"/>
  <c r="E1129" i="11"/>
  <c r="A1129" i="11"/>
  <c r="E1128" i="11"/>
  <c r="A1128" i="11"/>
  <c r="F1127" i="11"/>
  <c r="F1128" i="11" s="1"/>
  <c r="F1129" i="11" s="1"/>
  <c r="E1127" i="11"/>
  <c r="A1127" i="11"/>
  <c r="E1126" i="11"/>
  <c r="A1126" i="11"/>
  <c r="E1125" i="11"/>
  <c r="A1125" i="11"/>
  <c r="F1124" i="11"/>
  <c r="F1125" i="11" s="1"/>
  <c r="F1126" i="11" s="1"/>
  <c r="E1124" i="11"/>
  <c r="A1124" i="11"/>
  <c r="E1123" i="11"/>
  <c r="A1123" i="11"/>
  <c r="E1122" i="11"/>
  <c r="A1122" i="11"/>
  <c r="F1121" i="11"/>
  <c r="F1122" i="11" s="1"/>
  <c r="F1123" i="11" s="1"/>
  <c r="E1121" i="11"/>
  <c r="A1121" i="11"/>
  <c r="E1120" i="11"/>
  <c r="A1120" i="11"/>
  <c r="E1119" i="11"/>
  <c r="A1119" i="11"/>
  <c r="F1118" i="11"/>
  <c r="F1119" i="11" s="1"/>
  <c r="F1120" i="11" s="1"/>
  <c r="E1118" i="11"/>
  <c r="A1118" i="11"/>
  <c r="E1117" i="11"/>
  <c r="A1117" i="11"/>
  <c r="E1116" i="11"/>
  <c r="A1116" i="11"/>
  <c r="F1115" i="11"/>
  <c r="F1116" i="11" s="1"/>
  <c r="F1117" i="11" s="1"/>
  <c r="E1115" i="11"/>
  <c r="A1115" i="11"/>
  <c r="E1114" i="11"/>
  <c r="A1114" i="11"/>
  <c r="E1113" i="11"/>
  <c r="A1113" i="11"/>
  <c r="F1112" i="11"/>
  <c r="F1113" i="11" s="1"/>
  <c r="F1114" i="11" s="1"/>
  <c r="E1112" i="11"/>
  <c r="A1112" i="11"/>
  <c r="E1111" i="11"/>
  <c r="A1111" i="11"/>
  <c r="E1110" i="11"/>
  <c r="A1110" i="11"/>
  <c r="F1109" i="11"/>
  <c r="F1110" i="11" s="1"/>
  <c r="F1111" i="11" s="1"/>
  <c r="E1109" i="11"/>
  <c r="A1109" i="11"/>
  <c r="E1108" i="11"/>
  <c r="A1108" i="11"/>
  <c r="E1107" i="11"/>
  <c r="A1107" i="11"/>
  <c r="F1106" i="11"/>
  <c r="F1107" i="11" s="1"/>
  <c r="F1108" i="11" s="1"/>
  <c r="E1106" i="11"/>
  <c r="A1106" i="11"/>
  <c r="E1105" i="11"/>
  <c r="A1105" i="11"/>
  <c r="E1104" i="11"/>
  <c r="A1104" i="11"/>
  <c r="F1103" i="11"/>
  <c r="F1104" i="11" s="1"/>
  <c r="F1105" i="11" s="1"/>
  <c r="E1103" i="11"/>
  <c r="A1103" i="11"/>
  <c r="E1102" i="11"/>
  <c r="A1102" i="11"/>
  <c r="E1101" i="11"/>
  <c r="A1101" i="11"/>
  <c r="F1100" i="11"/>
  <c r="F1101" i="11" s="1"/>
  <c r="F1102" i="11" s="1"/>
  <c r="E1100" i="11"/>
  <c r="A1100" i="11"/>
  <c r="E1099" i="11"/>
  <c r="A1099" i="11"/>
  <c r="F1098" i="11"/>
  <c r="F1099" i="11" s="1"/>
  <c r="E1098" i="11"/>
  <c r="A1098" i="11"/>
  <c r="F1097" i="11"/>
  <c r="E1097" i="11"/>
  <c r="A1097" i="11"/>
  <c r="E1096" i="11"/>
  <c r="A1096" i="11"/>
  <c r="F1095" i="11"/>
  <c r="F1096" i="11" s="1"/>
  <c r="E1095" i="11"/>
  <c r="A1095" i="11"/>
  <c r="F1094" i="11"/>
  <c r="E1094" i="11"/>
  <c r="A1094" i="11"/>
  <c r="E1093" i="11"/>
  <c r="A1093" i="11"/>
  <c r="E1092" i="11"/>
  <c r="A1092" i="11"/>
  <c r="F1091" i="11"/>
  <c r="F1092" i="11" s="1"/>
  <c r="F1093" i="11" s="1"/>
  <c r="E1091" i="11"/>
  <c r="A1091" i="11"/>
  <c r="E1090" i="11"/>
  <c r="A1090" i="11"/>
  <c r="E1089" i="11"/>
  <c r="A1089" i="11"/>
  <c r="F1088" i="11"/>
  <c r="F1089" i="11" s="1"/>
  <c r="F1090" i="11" s="1"/>
  <c r="E1088" i="11"/>
  <c r="A1088" i="11"/>
  <c r="E1087" i="11"/>
  <c r="A1087" i="11"/>
  <c r="F1086" i="11"/>
  <c r="F1087" i="11" s="1"/>
  <c r="E1086" i="11"/>
  <c r="A1086" i="11"/>
  <c r="F1085" i="11"/>
  <c r="E1085" i="11"/>
  <c r="A1085" i="11"/>
  <c r="E1084" i="11"/>
  <c r="A1084" i="11"/>
  <c r="F1083" i="11"/>
  <c r="F1084" i="11" s="1"/>
  <c r="E1083" i="11"/>
  <c r="A1083" i="11"/>
  <c r="F1082" i="11"/>
  <c r="E1082" i="11"/>
  <c r="A1082" i="11"/>
  <c r="E1081" i="11"/>
  <c r="A1081" i="11"/>
  <c r="E1080" i="11"/>
  <c r="A1080" i="11"/>
  <c r="F1079" i="11"/>
  <c r="F1080" i="11" s="1"/>
  <c r="F1081" i="11" s="1"/>
  <c r="E1079" i="11"/>
  <c r="A1079" i="11"/>
  <c r="E1078" i="11"/>
  <c r="A1078" i="11"/>
  <c r="E1077" i="11"/>
  <c r="A1077" i="11"/>
  <c r="F1076" i="11"/>
  <c r="F1077" i="11" s="1"/>
  <c r="F1078" i="11" s="1"/>
  <c r="E1076" i="11"/>
  <c r="A1076" i="11"/>
  <c r="E1075" i="11"/>
  <c r="A1075" i="11"/>
  <c r="E1074" i="11"/>
  <c r="A1074" i="11"/>
  <c r="F1073" i="11"/>
  <c r="F1074" i="11" s="1"/>
  <c r="F1075" i="11" s="1"/>
  <c r="E1073" i="11"/>
  <c r="A1073" i="11"/>
  <c r="E1072" i="11"/>
  <c r="A1072" i="11"/>
  <c r="E1071" i="11"/>
  <c r="A1071" i="11"/>
  <c r="F1070" i="11"/>
  <c r="F1071" i="11" s="1"/>
  <c r="F1072" i="11" s="1"/>
  <c r="E1070" i="11"/>
  <c r="A1070" i="11"/>
  <c r="E1069" i="11"/>
  <c r="A1069" i="11"/>
  <c r="E1068" i="11"/>
  <c r="A1068" i="11"/>
  <c r="F1067" i="11"/>
  <c r="F1068" i="11" s="1"/>
  <c r="F1069" i="11" s="1"/>
  <c r="E1067" i="11"/>
  <c r="A1067" i="11"/>
  <c r="E1066" i="11"/>
  <c r="A1066" i="11"/>
  <c r="E1065" i="11"/>
  <c r="A1065" i="11"/>
  <c r="F1064" i="11"/>
  <c r="F1065" i="11" s="1"/>
  <c r="F1066" i="11" s="1"/>
  <c r="E1064" i="11"/>
  <c r="A1064" i="11"/>
  <c r="E1063" i="11"/>
  <c r="A1063" i="11"/>
  <c r="E1062" i="11"/>
  <c r="A1062" i="11"/>
  <c r="F1061" i="11"/>
  <c r="F1062" i="11" s="1"/>
  <c r="F1063" i="11" s="1"/>
  <c r="E1061" i="11"/>
  <c r="A1061" i="11"/>
  <c r="E1060" i="11"/>
  <c r="A1060" i="11"/>
  <c r="E1059" i="11"/>
  <c r="A1059" i="11"/>
  <c r="F1058" i="11"/>
  <c r="F1059" i="11" s="1"/>
  <c r="F1060" i="11" s="1"/>
  <c r="E1058" i="11"/>
  <c r="A1058" i="11"/>
  <c r="E1057" i="11"/>
  <c r="A1057" i="11"/>
  <c r="E1056" i="11"/>
  <c r="A1056" i="11"/>
  <c r="F1055" i="11"/>
  <c r="F1056" i="11" s="1"/>
  <c r="F1057" i="11" s="1"/>
  <c r="E1055" i="11"/>
  <c r="A1055" i="11"/>
  <c r="E1054" i="11"/>
  <c r="A1054" i="11"/>
  <c r="E1053" i="11"/>
  <c r="A1053" i="11"/>
  <c r="F1052" i="11"/>
  <c r="F1053" i="11" s="1"/>
  <c r="F1054" i="11" s="1"/>
  <c r="E1052" i="11"/>
  <c r="A1052" i="11"/>
  <c r="E1051" i="11"/>
  <c r="A1051" i="11"/>
  <c r="E1050" i="11"/>
  <c r="A1050" i="11"/>
  <c r="F1049" i="11"/>
  <c r="F1050" i="11" s="1"/>
  <c r="F1051" i="11" s="1"/>
  <c r="E1049" i="11"/>
  <c r="A1049" i="11"/>
  <c r="E1048" i="11"/>
  <c r="A1048" i="11"/>
  <c r="E1047" i="11"/>
  <c r="A1047" i="11"/>
  <c r="F1046" i="11"/>
  <c r="F1047" i="11" s="1"/>
  <c r="F1048" i="11" s="1"/>
  <c r="E1046" i="11"/>
  <c r="A1046" i="11"/>
  <c r="E1045" i="11"/>
  <c r="A1045" i="11"/>
  <c r="E1044" i="11"/>
  <c r="A1044" i="11"/>
  <c r="F1043" i="11"/>
  <c r="F1044" i="11" s="1"/>
  <c r="F1045" i="11" s="1"/>
  <c r="E1043" i="11"/>
  <c r="A1043" i="11"/>
  <c r="E1042" i="11"/>
  <c r="A1042" i="11"/>
  <c r="E1041" i="11"/>
  <c r="A1041" i="11"/>
  <c r="F1040" i="11"/>
  <c r="F1041" i="11" s="1"/>
  <c r="F1042" i="11" s="1"/>
  <c r="E1040" i="11"/>
  <c r="A1040" i="11"/>
  <c r="E1039" i="11"/>
  <c r="A1039" i="11"/>
  <c r="E1038" i="11"/>
  <c r="A1038" i="11"/>
  <c r="F1037" i="11"/>
  <c r="F1038" i="11" s="1"/>
  <c r="F1039" i="11" s="1"/>
  <c r="E1037" i="11"/>
  <c r="A1037" i="11"/>
  <c r="E1036" i="11"/>
  <c r="A1036" i="11"/>
  <c r="E1035" i="11"/>
  <c r="A1035" i="11"/>
  <c r="F1034" i="11"/>
  <c r="F1035" i="11" s="1"/>
  <c r="F1036" i="11" s="1"/>
  <c r="E1034" i="11"/>
  <c r="A1034" i="11"/>
  <c r="E1033" i="11"/>
  <c r="A1033" i="11"/>
  <c r="E1032" i="11"/>
  <c r="A1032" i="11"/>
  <c r="F1031" i="11"/>
  <c r="F1032" i="11" s="1"/>
  <c r="F1033" i="11" s="1"/>
  <c r="E1031" i="11"/>
  <c r="A1031" i="11"/>
  <c r="E1030" i="11"/>
  <c r="A1030" i="11"/>
  <c r="E1029" i="11"/>
  <c r="A1029" i="11"/>
  <c r="F1028" i="11"/>
  <c r="F1029" i="11" s="1"/>
  <c r="F1030" i="11" s="1"/>
  <c r="E1028" i="11"/>
  <c r="A1028" i="11"/>
  <c r="E1027" i="11"/>
  <c r="A1027" i="11"/>
  <c r="E1026" i="11"/>
  <c r="A1026" i="11"/>
  <c r="F1025" i="11"/>
  <c r="F1026" i="11" s="1"/>
  <c r="F1027" i="11" s="1"/>
  <c r="E1025" i="11"/>
  <c r="A1025" i="11"/>
  <c r="E1024" i="11"/>
  <c r="A1024" i="11"/>
  <c r="E1023" i="11"/>
  <c r="A1023" i="11"/>
  <c r="F1022" i="11"/>
  <c r="F1023" i="11" s="1"/>
  <c r="F1024" i="11" s="1"/>
  <c r="E1022" i="11"/>
  <c r="A1022" i="11"/>
  <c r="E1021" i="11"/>
  <c r="A1021" i="11"/>
  <c r="E1020" i="11"/>
  <c r="A1020" i="11"/>
  <c r="F1019" i="11"/>
  <c r="F1020" i="11" s="1"/>
  <c r="F1021" i="11" s="1"/>
  <c r="E1019" i="11"/>
  <c r="A1019" i="11"/>
  <c r="E1018" i="11"/>
  <c r="A1018" i="11"/>
  <c r="E1017" i="11"/>
  <c r="A1017" i="11"/>
  <c r="F1016" i="11"/>
  <c r="F1017" i="11" s="1"/>
  <c r="F1018" i="11" s="1"/>
  <c r="E1016" i="11"/>
  <c r="A1016" i="11"/>
  <c r="E1015" i="11"/>
  <c r="A1015" i="11"/>
  <c r="F1014" i="11"/>
  <c r="F1015" i="11" s="1"/>
  <c r="E1014" i="11"/>
  <c r="A1014" i="11"/>
  <c r="F1013" i="11"/>
  <c r="E1013" i="11"/>
  <c r="A1013" i="11"/>
  <c r="E1012" i="11"/>
  <c r="A1012" i="11"/>
  <c r="E1011" i="11"/>
  <c r="A1011" i="11"/>
  <c r="F1010" i="11"/>
  <c r="F1011" i="11" s="1"/>
  <c r="F1012" i="11" s="1"/>
  <c r="E1010" i="11"/>
  <c r="A1010" i="11"/>
  <c r="E1009" i="11"/>
  <c r="A1009" i="11"/>
  <c r="E1008" i="11"/>
  <c r="A1008" i="11"/>
  <c r="F1007" i="11"/>
  <c r="F1008" i="11" s="1"/>
  <c r="F1009" i="11" s="1"/>
  <c r="E1007" i="11"/>
  <c r="A1007" i="11"/>
  <c r="E1006" i="11"/>
  <c r="A1006" i="11"/>
  <c r="E1005" i="11"/>
  <c r="A1005" i="11"/>
  <c r="F1004" i="11"/>
  <c r="F1005" i="11" s="1"/>
  <c r="F1006" i="11" s="1"/>
  <c r="E1004" i="11"/>
  <c r="A1004" i="11"/>
  <c r="E1003" i="11"/>
  <c r="A1003" i="11"/>
  <c r="F1002" i="11"/>
  <c r="F1003" i="11" s="1"/>
  <c r="E1002" i="11"/>
  <c r="A1002" i="11"/>
  <c r="F1001" i="11"/>
  <c r="E1001" i="11"/>
  <c r="A1001" i="11"/>
  <c r="E1000" i="11"/>
  <c r="A1000" i="11"/>
  <c r="F999" i="11"/>
  <c r="F1000" i="11" s="1"/>
  <c r="E999" i="11"/>
  <c r="A999" i="11"/>
  <c r="F998" i="11"/>
  <c r="E998" i="11"/>
  <c r="A998" i="11"/>
  <c r="E997" i="11"/>
  <c r="A997" i="11"/>
  <c r="E996" i="11"/>
  <c r="A996" i="11"/>
  <c r="F995" i="11"/>
  <c r="F996" i="11" s="1"/>
  <c r="F997" i="11" s="1"/>
  <c r="E995" i="11"/>
  <c r="A995" i="11"/>
  <c r="E994" i="11"/>
  <c r="A994" i="11"/>
  <c r="F993" i="11"/>
  <c r="F994" i="11" s="1"/>
  <c r="E993" i="11"/>
  <c r="A993" i="11"/>
  <c r="F992" i="11"/>
  <c r="E992" i="11"/>
  <c r="A992" i="11"/>
  <c r="E991" i="11"/>
  <c r="A991" i="11"/>
  <c r="F990" i="11"/>
  <c r="F991" i="11" s="1"/>
  <c r="E990" i="11"/>
  <c r="A990" i="11"/>
  <c r="F989" i="11"/>
  <c r="E989" i="11"/>
  <c r="A989" i="11"/>
  <c r="E988" i="11"/>
  <c r="A988" i="11"/>
  <c r="F987" i="11"/>
  <c r="F988" i="11" s="1"/>
  <c r="E987" i="11"/>
  <c r="A987" i="11"/>
  <c r="F986" i="11"/>
  <c r="E986" i="11"/>
  <c r="A986" i="11"/>
  <c r="E985" i="11"/>
  <c r="A985" i="11"/>
  <c r="E984" i="11"/>
  <c r="A984" i="11"/>
  <c r="F983" i="11"/>
  <c r="F984" i="11" s="1"/>
  <c r="F985" i="11" s="1"/>
  <c r="E983" i="11"/>
  <c r="A983" i="11"/>
  <c r="E982" i="11"/>
  <c r="A982" i="11"/>
  <c r="F981" i="11"/>
  <c r="F982" i="11" s="1"/>
  <c r="E981" i="11"/>
  <c r="A981" i="11"/>
  <c r="F980" i="11"/>
  <c r="E980" i="11"/>
  <c r="A980" i="11"/>
  <c r="E979" i="11"/>
  <c r="A979" i="11"/>
  <c r="F978" i="11"/>
  <c r="F979" i="11" s="1"/>
  <c r="E978" i="11"/>
  <c r="A978" i="11"/>
  <c r="F977" i="11"/>
  <c r="E977" i="11"/>
  <c r="A977" i="11"/>
  <c r="E976" i="11"/>
  <c r="A976" i="11"/>
  <c r="F975" i="11"/>
  <c r="F976" i="11" s="1"/>
  <c r="E975" i="11"/>
  <c r="A975" i="11"/>
  <c r="F974" i="11"/>
  <c r="E974" i="11"/>
  <c r="A974" i="11"/>
  <c r="E973" i="11"/>
  <c r="A973" i="11"/>
  <c r="E972" i="11"/>
  <c r="A972" i="11"/>
  <c r="F971" i="11"/>
  <c r="F972" i="11" s="1"/>
  <c r="F973" i="11" s="1"/>
  <c r="E971" i="11"/>
  <c r="A971" i="11"/>
  <c r="E970" i="11"/>
  <c r="A970" i="11"/>
  <c r="F969" i="11"/>
  <c r="F970" i="11" s="1"/>
  <c r="E969" i="11"/>
  <c r="A969" i="11"/>
  <c r="F968" i="11"/>
  <c r="E968" i="11"/>
  <c r="A968" i="11"/>
  <c r="E967" i="11"/>
  <c r="A967" i="11"/>
  <c r="F966" i="11"/>
  <c r="F967" i="11" s="1"/>
  <c r="E966" i="11"/>
  <c r="A966" i="11"/>
  <c r="F965" i="11"/>
  <c r="E965" i="11"/>
  <c r="A965" i="11"/>
  <c r="E964" i="11"/>
  <c r="A964" i="11"/>
  <c r="E963" i="11"/>
  <c r="A963" i="11"/>
  <c r="F962" i="11"/>
  <c r="F963" i="11" s="1"/>
  <c r="F964" i="11" s="1"/>
  <c r="E962" i="11"/>
  <c r="A962" i="11"/>
  <c r="E961" i="11"/>
  <c r="A961" i="11"/>
  <c r="E960" i="11"/>
  <c r="A960" i="11"/>
  <c r="F959" i="11"/>
  <c r="F960" i="11" s="1"/>
  <c r="F961" i="11" s="1"/>
  <c r="E959" i="11"/>
  <c r="A959" i="11"/>
  <c r="E958" i="11"/>
  <c r="A958" i="11"/>
  <c r="F957" i="11"/>
  <c r="F958" i="11" s="1"/>
  <c r="E957" i="11"/>
  <c r="A957" i="11"/>
  <c r="F956" i="11"/>
  <c r="E956" i="11"/>
  <c r="A956" i="11"/>
  <c r="E955" i="11"/>
  <c r="A955" i="11"/>
  <c r="F954" i="11"/>
  <c r="F955" i="11" s="1"/>
  <c r="E954" i="11"/>
  <c r="A954" i="11"/>
  <c r="F953" i="11"/>
  <c r="E953" i="11"/>
  <c r="A953" i="11"/>
  <c r="E952" i="11"/>
  <c r="A952" i="11"/>
  <c r="F951" i="11"/>
  <c r="F952" i="11" s="1"/>
  <c r="E951" i="11"/>
  <c r="A951" i="11"/>
  <c r="F950" i="11"/>
  <c r="E950" i="11"/>
  <c r="A950" i="11"/>
  <c r="E949" i="11"/>
  <c r="A949" i="11"/>
  <c r="E948" i="11"/>
  <c r="A948" i="11"/>
  <c r="F947" i="11"/>
  <c r="F948" i="11" s="1"/>
  <c r="F949" i="11" s="1"/>
  <c r="E947" i="11"/>
  <c r="A947" i="11"/>
  <c r="E946" i="11"/>
  <c r="A946" i="11"/>
  <c r="F945" i="11"/>
  <c r="F946" i="11" s="1"/>
  <c r="E945" i="11"/>
  <c r="A945" i="11"/>
  <c r="F944" i="11"/>
  <c r="E944" i="11"/>
  <c r="A944" i="11"/>
  <c r="E943" i="11"/>
  <c r="A943" i="11"/>
  <c r="F942" i="11"/>
  <c r="F943" i="11" s="1"/>
  <c r="E942" i="11"/>
  <c r="A942" i="11"/>
  <c r="F941" i="11"/>
  <c r="E941" i="11"/>
  <c r="A941" i="11"/>
  <c r="E940" i="11"/>
  <c r="A940" i="11"/>
  <c r="F939" i="11"/>
  <c r="F940" i="11" s="1"/>
  <c r="E939" i="11"/>
  <c r="A939" i="11"/>
  <c r="F938" i="11"/>
  <c r="E938" i="11"/>
  <c r="A938" i="11"/>
  <c r="E937" i="11"/>
  <c r="A937" i="11"/>
  <c r="E936" i="11"/>
  <c r="A936" i="11"/>
  <c r="F935" i="11"/>
  <c r="F936" i="11" s="1"/>
  <c r="F937" i="11" s="1"/>
  <c r="E935" i="11"/>
  <c r="A935" i="11"/>
  <c r="E934" i="11"/>
  <c r="A934" i="11"/>
  <c r="F933" i="11"/>
  <c r="F934" i="11" s="1"/>
  <c r="E933" i="11"/>
  <c r="A933" i="11"/>
  <c r="F932" i="11"/>
  <c r="E932" i="11"/>
  <c r="A932" i="11"/>
  <c r="E931" i="11"/>
  <c r="A931" i="11"/>
  <c r="F930" i="11"/>
  <c r="F931" i="11" s="1"/>
  <c r="E930" i="11"/>
  <c r="A930" i="11"/>
  <c r="F929" i="11"/>
  <c r="E929" i="11"/>
  <c r="A929" i="11"/>
  <c r="E928" i="11"/>
  <c r="A928" i="11"/>
  <c r="F927" i="11"/>
  <c r="F928" i="11" s="1"/>
  <c r="E927" i="11"/>
  <c r="A927" i="11"/>
  <c r="F926" i="11"/>
  <c r="E926" i="11"/>
  <c r="A926" i="11"/>
  <c r="E925" i="11"/>
  <c r="A925" i="11"/>
  <c r="E924" i="11"/>
  <c r="A924" i="11"/>
  <c r="F923" i="11"/>
  <c r="F924" i="11" s="1"/>
  <c r="F925" i="11" s="1"/>
  <c r="E923" i="11"/>
  <c r="A923" i="11"/>
  <c r="E922" i="11"/>
  <c r="A922" i="11"/>
  <c r="F921" i="11"/>
  <c r="F922" i="11" s="1"/>
  <c r="E921" i="11"/>
  <c r="A921" i="11"/>
  <c r="F920" i="11"/>
  <c r="E920" i="11"/>
  <c r="A920" i="11"/>
  <c r="E919" i="11"/>
  <c r="A919" i="11"/>
  <c r="F918" i="11"/>
  <c r="F919" i="11" s="1"/>
  <c r="E918" i="11"/>
  <c r="A918" i="11"/>
  <c r="F917" i="11"/>
  <c r="E917" i="11"/>
  <c r="A917" i="11"/>
  <c r="E916" i="11"/>
  <c r="A916" i="11"/>
  <c r="E915" i="11"/>
  <c r="A915" i="11"/>
  <c r="F914" i="11"/>
  <c r="F915" i="11" s="1"/>
  <c r="F916" i="11" s="1"/>
  <c r="E914" i="11"/>
  <c r="A914" i="11"/>
  <c r="E913" i="11"/>
  <c r="A913" i="11"/>
  <c r="E912" i="11"/>
  <c r="A912" i="11"/>
  <c r="F911" i="11"/>
  <c r="F912" i="11" s="1"/>
  <c r="F913" i="11" s="1"/>
  <c r="E911" i="11"/>
  <c r="A911" i="11"/>
  <c r="E910" i="11"/>
  <c r="A910" i="11"/>
  <c r="F909" i="11"/>
  <c r="F910" i="11" s="1"/>
  <c r="E909" i="11"/>
  <c r="A909" i="11"/>
  <c r="F908" i="11"/>
  <c r="E908" i="11"/>
  <c r="A908" i="11"/>
  <c r="E907" i="11"/>
  <c r="A907" i="11"/>
  <c r="F906" i="11"/>
  <c r="F907" i="11" s="1"/>
  <c r="E906" i="11"/>
  <c r="A906" i="11"/>
  <c r="F905" i="11"/>
  <c r="E905" i="11"/>
  <c r="A905" i="11"/>
  <c r="E904" i="11"/>
  <c r="A904" i="11"/>
  <c r="F903" i="11"/>
  <c r="F904" i="11" s="1"/>
  <c r="E903" i="11"/>
  <c r="A903" i="11"/>
  <c r="F902" i="11"/>
  <c r="E902" i="11"/>
  <c r="A902" i="11"/>
  <c r="E901" i="11"/>
  <c r="A901" i="11"/>
  <c r="E900" i="11"/>
  <c r="A900" i="11"/>
  <c r="F899" i="11"/>
  <c r="F900" i="11" s="1"/>
  <c r="F901" i="11" s="1"/>
  <c r="E899" i="11"/>
  <c r="A899" i="11"/>
  <c r="E898" i="11"/>
  <c r="A898" i="11"/>
  <c r="F897" i="11"/>
  <c r="F898" i="11" s="1"/>
  <c r="E897" i="11"/>
  <c r="A897" i="11"/>
  <c r="F896" i="11"/>
  <c r="E896" i="11"/>
  <c r="A896" i="11"/>
  <c r="E895" i="11"/>
  <c r="A895" i="11"/>
  <c r="F894" i="11"/>
  <c r="F895" i="11" s="1"/>
  <c r="E894" i="11"/>
  <c r="A894" i="11"/>
  <c r="F893" i="11"/>
  <c r="E893" i="11"/>
  <c r="A893" i="11"/>
  <c r="E892" i="11"/>
  <c r="A892" i="11"/>
  <c r="F891" i="11"/>
  <c r="F892" i="11" s="1"/>
  <c r="E891" i="11"/>
  <c r="A891" i="11"/>
  <c r="F890" i="11"/>
  <c r="E890" i="11"/>
  <c r="A890" i="11"/>
  <c r="E889" i="11"/>
  <c r="A889" i="11"/>
  <c r="E888" i="11"/>
  <c r="A888" i="11"/>
  <c r="F887" i="11"/>
  <c r="F888" i="11" s="1"/>
  <c r="F889" i="11" s="1"/>
  <c r="E887" i="11"/>
  <c r="A887" i="11"/>
  <c r="E886" i="11"/>
  <c r="A886" i="11"/>
  <c r="F885" i="11"/>
  <c r="F886" i="11" s="1"/>
  <c r="E885" i="11"/>
  <c r="A885" i="11"/>
  <c r="F884" i="11"/>
  <c r="E884" i="11"/>
  <c r="A884" i="11"/>
  <c r="E883" i="11"/>
  <c r="A883" i="11"/>
  <c r="F882" i="11"/>
  <c r="F883" i="11" s="1"/>
  <c r="E882" i="11"/>
  <c r="A882" i="11"/>
  <c r="F881" i="11"/>
  <c r="E881" i="11"/>
  <c r="A881" i="11"/>
  <c r="E880" i="11"/>
  <c r="A880" i="11"/>
  <c r="E879" i="11"/>
  <c r="A879" i="11"/>
  <c r="F878" i="11"/>
  <c r="F879" i="11" s="1"/>
  <c r="F880" i="11" s="1"/>
  <c r="E878" i="11"/>
  <c r="A878" i="11"/>
  <c r="E877" i="11"/>
  <c r="A877" i="11"/>
  <c r="E876" i="11"/>
  <c r="A876" i="11"/>
  <c r="F875" i="11"/>
  <c r="F876" i="11" s="1"/>
  <c r="F877" i="11" s="1"/>
  <c r="E875" i="11"/>
  <c r="A875" i="11"/>
  <c r="E874" i="11"/>
  <c r="A874" i="11"/>
  <c r="F873" i="11"/>
  <c r="F874" i="11" s="1"/>
  <c r="E873" i="11"/>
  <c r="A873" i="11"/>
  <c r="F872" i="11"/>
  <c r="E872" i="11"/>
  <c r="A872" i="11"/>
  <c r="E871" i="11"/>
  <c r="A871" i="11"/>
  <c r="F870" i="11"/>
  <c r="F871" i="11" s="1"/>
  <c r="E870" i="11"/>
  <c r="A870" i="11"/>
  <c r="F869" i="11"/>
  <c r="E869" i="11"/>
  <c r="A869" i="11"/>
  <c r="E868" i="11"/>
  <c r="A868" i="11"/>
  <c r="E867" i="11"/>
  <c r="A867" i="11"/>
  <c r="F866" i="11"/>
  <c r="F867" i="11" s="1"/>
  <c r="F868" i="11" s="1"/>
  <c r="E866" i="11"/>
  <c r="A866" i="11"/>
  <c r="E865" i="11"/>
  <c r="A865" i="11"/>
  <c r="E864" i="11"/>
  <c r="A864" i="11"/>
  <c r="F863" i="11"/>
  <c r="F864" i="11" s="1"/>
  <c r="F865" i="11" s="1"/>
  <c r="E863" i="11"/>
  <c r="A863" i="11"/>
  <c r="E862" i="11"/>
  <c r="A862" i="11"/>
  <c r="F861" i="11"/>
  <c r="F862" i="11" s="1"/>
  <c r="E861" i="11"/>
  <c r="A861" i="11"/>
  <c r="F860" i="11"/>
  <c r="E860" i="11"/>
  <c r="A860" i="11"/>
  <c r="E859" i="11"/>
  <c r="A859" i="11"/>
  <c r="F858" i="11"/>
  <c r="F859" i="11" s="1"/>
  <c r="E858" i="11"/>
  <c r="A858" i="11"/>
  <c r="F857" i="11"/>
  <c r="E857" i="11"/>
  <c r="A857" i="11"/>
  <c r="E856" i="11"/>
  <c r="A856" i="11"/>
  <c r="F855" i="11"/>
  <c r="F856" i="11" s="1"/>
  <c r="E855" i="11"/>
  <c r="A855" i="11"/>
  <c r="F854" i="11"/>
  <c r="E854" i="11"/>
  <c r="A854" i="11"/>
  <c r="E853" i="11"/>
  <c r="A853" i="11"/>
  <c r="E852" i="11"/>
  <c r="A852" i="11"/>
  <c r="E851" i="11"/>
  <c r="A851" i="11"/>
  <c r="E850" i="11"/>
  <c r="A850" i="11"/>
  <c r="E849" i="11"/>
  <c r="A849" i="11"/>
  <c r="E848" i="11"/>
  <c r="A848" i="11"/>
  <c r="E847" i="11"/>
  <c r="A847" i="11"/>
  <c r="E846" i="11"/>
  <c r="A846" i="11"/>
  <c r="E845" i="11"/>
  <c r="A845" i="11"/>
  <c r="E844" i="11"/>
  <c r="A844" i="11"/>
  <c r="E843" i="11"/>
  <c r="A843" i="11"/>
  <c r="E842" i="11"/>
  <c r="A842" i="11"/>
  <c r="E841" i="11"/>
  <c r="A841" i="11"/>
  <c r="E840" i="11"/>
  <c r="A840" i="11"/>
  <c r="E839" i="11"/>
  <c r="A839" i="11"/>
  <c r="E838" i="11"/>
  <c r="A838" i="11"/>
  <c r="E837" i="11"/>
  <c r="A837" i="11"/>
  <c r="E836" i="11"/>
  <c r="A836" i="11"/>
  <c r="E835" i="11"/>
  <c r="A835" i="11"/>
  <c r="E834" i="11"/>
  <c r="A834" i="11"/>
  <c r="E833" i="11"/>
  <c r="C833" i="11"/>
  <c r="A833" i="11"/>
  <c r="E832" i="11"/>
  <c r="A832" i="11"/>
  <c r="E831" i="11"/>
  <c r="A831" i="11"/>
  <c r="E830" i="11"/>
  <c r="C830" i="11"/>
  <c r="C831" i="11" s="1"/>
  <c r="C832" i="11" s="1"/>
  <c r="F836" i="11" s="1"/>
  <c r="F837" i="11" s="1"/>
  <c r="F838" i="11" s="1"/>
  <c r="A830" i="11"/>
  <c r="E829" i="11"/>
  <c r="A829" i="11"/>
  <c r="E828" i="11"/>
  <c r="A828" i="11"/>
  <c r="E827" i="11"/>
  <c r="C827" i="11"/>
  <c r="C828" i="11" s="1"/>
  <c r="C829" i="11" s="1"/>
  <c r="A827" i="11"/>
  <c r="E826" i="11"/>
  <c r="A826" i="11"/>
  <c r="E825" i="11"/>
  <c r="A825" i="11"/>
  <c r="E824" i="11"/>
  <c r="C824" i="11"/>
  <c r="A824" i="11"/>
  <c r="E823" i="11"/>
  <c r="A823" i="11"/>
  <c r="E822" i="11"/>
  <c r="A822" i="11"/>
  <c r="E821" i="11"/>
  <c r="C821" i="11"/>
  <c r="C822" i="11" s="1"/>
  <c r="A821" i="11"/>
  <c r="E820" i="11"/>
  <c r="A820" i="11"/>
  <c r="E819" i="11"/>
  <c r="A819" i="11"/>
  <c r="E818" i="11"/>
  <c r="C818" i="11"/>
  <c r="C819" i="11" s="1"/>
  <c r="A818" i="11"/>
  <c r="E817" i="11"/>
  <c r="A817" i="11"/>
  <c r="E816" i="11"/>
  <c r="A816" i="11"/>
  <c r="E815" i="11"/>
  <c r="C815" i="11"/>
  <c r="A815" i="11"/>
  <c r="E814" i="11"/>
  <c r="A814" i="11"/>
  <c r="E813" i="11"/>
  <c r="A813" i="11"/>
  <c r="E812" i="11"/>
  <c r="C812" i="11"/>
  <c r="C813" i="11" s="1"/>
  <c r="A812" i="11"/>
  <c r="E811" i="11"/>
  <c r="A811" i="11"/>
  <c r="E810" i="11"/>
  <c r="A810" i="11"/>
  <c r="E809" i="11"/>
  <c r="C809" i="11"/>
  <c r="C810" i="11" s="1"/>
  <c r="C811" i="11" s="1"/>
  <c r="A809" i="11"/>
  <c r="E808" i="11"/>
  <c r="A808" i="11"/>
  <c r="E807" i="11"/>
  <c r="C807" i="11"/>
  <c r="A807" i="11"/>
  <c r="E806" i="11"/>
  <c r="C806" i="11"/>
  <c r="A806" i="11"/>
  <c r="E805" i="11"/>
  <c r="C805" i="11"/>
  <c r="A805" i="11"/>
  <c r="E804" i="11"/>
  <c r="A804" i="11"/>
  <c r="E803" i="11"/>
  <c r="A803" i="11"/>
  <c r="E802" i="11"/>
  <c r="A802" i="11"/>
  <c r="E801" i="11"/>
  <c r="A801" i="11"/>
  <c r="E800" i="11"/>
  <c r="A800" i="11"/>
  <c r="E799" i="11"/>
  <c r="A799" i="11"/>
  <c r="E798" i="11"/>
  <c r="A798" i="11"/>
  <c r="E797" i="11"/>
  <c r="A797" i="11"/>
  <c r="E796" i="11"/>
  <c r="A796" i="11"/>
  <c r="E795" i="11"/>
  <c r="A795" i="11"/>
  <c r="E794" i="11"/>
  <c r="A794" i="11"/>
  <c r="E793" i="11"/>
  <c r="A793" i="11"/>
  <c r="E792" i="11"/>
  <c r="A792" i="11"/>
  <c r="E791" i="11"/>
  <c r="A791" i="11"/>
  <c r="E790" i="11"/>
  <c r="A790" i="11"/>
  <c r="E789" i="11"/>
  <c r="A789" i="11"/>
  <c r="E788" i="11"/>
  <c r="A788" i="11"/>
  <c r="E787" i="11"/>
  <c r="A787" i="11"/>
  <c r="E786" i="11"/>
  <c r="A786" i="11"/>
  <c r="E785" i="11"/>
  <c r="A785" i="11"/>
  <c r="E784" i="11"/>
  <c r="A784" i="11"/>
  <c r="E783" i="11"/>
  <c r="A783" i="11"/>
  <c r="E782" i="11"/>
  <c r="A782" i="11"/>
  <c r="E781" i="11"/>
  <c r="A781" i="11"/>
  <c r="E780" i="11"/>
  <c r="A780" i="11"/>
  <c r="E779" i="11"/>
  <c r="A779" i="11"/>
  <c r="E778" i="11"/>
  <c r="A778" i="11"/>
  <c r="E777" i="11"/>
  <c r="A777" i="11"/>
  <c r="E776" i="11"/>
  <c r="A776" i="11"/>
  <c r="E775" i="11"/>
  <c r="A775" i="11"/>
  <c r="E774" i="11"/>
  <c r="A774" i="11"/>
  <c r="E773" i="11"/>
  <c r="A773" i="11"/>
  <c r="E772" i="11"/>
  <c r="A772" i="11"/>
  <c r="E771" i="11"/>
  <c r="A771" i="11"/>
  <c r="E770" i="11"/>
  <c r="A770" i="11"/>
  <c r="E769" i="11"/>
  <c r="A769" i="11"/>
  <c r="E768" i="11"/>
  <c r="A768" i="11"/>
  <c r="E767" i="11"/>
  <c r="A767" i="11"/>
  <c r="E766" i="11"/>
  <c r="A766" i="11"/>
  <c r="E765" i="11"/>
  <c r="A765" i="11"/>
  <c r="E764" i="11"/>
  <c r="A764" i="11"/>
  <c r="E763" i="11"/>
  <c r="A763" i="11"/>
  <c r="E762" i="11"/>
  <c r="A762" i="11"/>
  <c r="E761" i="11"/>
  <c r="A761" i="11"/>
  <c r="E760" i="11"/>
  <c r="A760" i="11"/>
  <c r="E759" i="11"/>
  <c r="A759" i="11"/>
  <c r="E758" i="11"/>
  <c r="A758" i="11"/>
  <c r="E757" i="11"/>
  <c r="A757" i="11"/>
  <c r="E756" i="11"/>
  <c r="A756" i="11"/>
  <c r="E755" i="11"/>
  <c r="A755" i="11"/>
  <c r="E754" i="11"/>
  <c r="A754" i="11"/>
  <c r="E753" i="11"/>
  <c r="A753" i="11"/>
  <c r="E752" i="11"/>
  <c r="A752" i="11"/>
  <c r="E751" i="11"/>
  <c r="A751" i="11"/>
  <c r="F750" i="11"/>
  <c r="F751" i="11" s="1"/>
  <c r="E750" i="11"/>
  <c r="C750" i="11"/>
  <c r="C751" i="11" s="1"/>
  <c r="A750" i="11"/>
  <c r="E749" i="11"/>
  <c r="C749" i="11"/>
  <c r="A749" i="11"/>
  <c r="E748" i="11"/>
  <c r="C748" i="11"/>
  <c r="A748" i="11"/>
  <c r="E747" i="11"/>
  <c r="C747" i="11"/>
  <c r="A747" i="11"/>
  <c r="E746" i="11"/>
  <c r="C746" i="11"/>
  <c r="A746" i="11"/>
  <c r="E745" i="11"/>
  <c r="C745" i="11"/>
  <c r="F749" i="11" s="1"/>
  <c r="A745" i="11"/>
  <c r="E744" i="11"/>
  <c r="C744" i="11"/>
  <c r="A744" i="11"/>
  <c r="E743" i="11"/>
  <c r="C743" i="11"/>
  <c r="A743" i="11"/>
  <c r="E742" i="11"/>
  <c r="C742" i="11"/>
  <c r="F746" i="11" s="1"/>
  <c r="F747" i="11" s="1"/>
  <c r="F748" i="11" s="1"/>
  <c r="A742" i="11"/>
  <c r="E741" i="11"/>
  <c r="C741" i="11"/>
  <c r="A741" i="11"/>
  <c r="E740" i="11"/>
  <c r="C740" i="11"/>
  <c r="A740" i="11"/>
  <c r="E739" i="11"/>
  <c r="C739" i="11"/>
  <c r="A739" i="11"/>
  <c r="E738" i="11"/>
  <c r="C738" i="11"/>
  <c r="I750" i="11" s="1"/>
  <c r="A738" i="11"/>
  <c r="E737" i="11"/>
  <c r="C737" i="11"/>
  <c r="I745" i="11" s="1"/>
  <c r="A737" i="11"/>
  <c r="E736" i="11"/>
  <c r="C736" i="11"/>
  <c r="A736" i="11"/>
  <c r="E735" i="11"/>
  <c r="C735" i="11"/>
  <c r="A735" i="11"/>
  <c r="E734" i="11"/>
  <c r="C734" i="11"/>
  <c r="I746" i="11" s="1"/>
  <c r="A734" i="11"/>
  <c r="E733" i="11"/>
  <c r="C733" i="11"/>
  <c r="A733" i="11"/>
  <c r="E732" i="11"/>
  <c r="C732" i="11"/>
  <c r="A732" i="11"/>
  <c r="E731" i="11"/>
  <c r="C731" i="11"/>
  <c r="A731" i="11"/>
  <c r="E730" i="11"/>
  <c r="C730" i="11"/>
  <c r="F734" i="11" s="1"/>
  <c r="F735" i="11" s="1"/>
  <c r="F736" i="11" s="1"/>
  <c r="A730" i="11"/>
  <c r="E729" i="11"/>
  <c r="C729" i="11"/>
  <c r="I741" i="11" s="1"/>
  <c r="A729" i="11"/>
  <c r="E728" i="11"/>
  <c r="C728" i="11"/>
  <c r="A728" i="11"/>
  <c r="E727" i="11"/>
  <c r="C727" i="11"/>
  <c r="A727" i="11"/>
  <c r="E726" i="11"/>
  <c r="C726" i="11"/>
  <c r="I738" i="11" s="1"/>
  <c r="A726" i="11"/>
  <c r="E725" i="11"/>
  <c r="C725" i="11"/>
  <c r="I737" i="11" s="1"/>
  <c r="A725" i="11"/>
  <c r="E724" i="11"/>
  <c r="C724" i="11"/>
  <c r="A724" i="11"/>
  <c r="E723" i="11"/>
  <c r="C723" i="11"/>
  <c r="A723" i="11"/>
  <c r="I722" i="11"/>
  <c r="F722" i="11"/>
  <c r="F723" i="11" s="1"/>
  <c r="F724" i="11" s="1"/>
  <c r="E722" i="11"/>
  <c r="C722" i="11"/>
  <c r="I726" i="11" s="1"/>
  <c r="A722" i="11"/>
  <c r="I721" i="11"/>
  <c r="E721" i="11"/>
  <c r="C721" i="11"/>
  <c r="A721" i="11"/>
  <c r="E720" i="11"/>
  <c r="C720" i="11"/>
  <c r="A720" i="11"/>
  <c r="I719" i="11"/>
  <c r="F719" i="11"/>
  <c r="F720" i="11" s="1"/>
  <c r="F721" i="11" s="1"/>
  <c r="E719" i="11"/>
  <c r="C719" i="11"/>
  <c r="I725" i="11" s="1"/>
  <c r="A719" i="11"/>
  <c r="I718" i="11"/>
  <c r="E718" i="11"/>
  <c r="A718" i="11"/>
  <c r="I717" i="11"/>
  <c r="E717" i="11"/>
  <c r="A717" i="11"/>
  <c r="I716" i="11"/>
  <c r="F716" i="11"/>
  <c r="F717" i="11" s="1"/>
  <c r="F718" i="11" s="1"/>
  <c r="E716" i="11"/>
  <c r="A716" i="11"/>
  <c r="I715" i="11"/>
  <c r="E715" i="11"/>
  <c r="A715" i="11"/>
  <c r="I714" i="11"/>
  <c r="E714" i="11"/>
  <c r="A714" i="11"/>
  <c r="I713" i="11"/>
  <c r="F713" i="11"/>
  <c r="F714" i="11" s="1"/>
  <c r="F715" i="11" s="1"/>
  <c r="E713" i="11"/>
  <c r="A713" i="11"/>
  <c r="I712" i="11"/>
  <c r="E712" i="11"/>
  <c r="A712" i="11"/>
  <c r="I711" i="11"/>
  <c r="E711" i="11"/>
  <c r="A711" i="11"/>
  <c r="I710" i="11"/>
  <c r="F710" i="11"/>
  <c r="F711" i="11" s="1"/>
  <c r="F712" i="11" s="1"/>
  <c r="E710" i="11"/>
  <c r="A710" i="11"/>
  <c r="I709" i="11"/>
  <c r="E709" i="11"/>
  <c r="A709" i="11"/>
  <c r="I708" i="11"/>
  <c r="E708" i="11"/>
  <c r="A708" i="11"/>
  <c r="I707" i="11"/>
  <c r="F707" i="11"/>
  <c r="F708" i="11" s="1"/>
  <c r="F709" i="11" s="1"/>
  <c r="E707" i="11"/>
  <c r="A707" i="11"/>
  <c r="I706" i="11"/>
  <c r="E706" i="11"/>
  <c r="A706" i="11"/>
  <c r="I705" i="11"/>
  <c r="E705" i="11"/>
  <c r="A705" i="11"/>
  <c r="I704" i="11"/>
  <c r="F704" i="11"/>
  <c r="F705" i="11" s="1"/>
  <c r="F706" i="11" s="1"/>
  <c r="E704" i="11"/>
  <c r="A704" i="11"/>
  <c r="I703" i="11"/>
  <c r="E703" i="11"/>
  <c r="A703" i="11"/>
  <c r="I702" i="11"/>
  <c r="E702" i="11"/>
  <c r="A702" i="11"/>
  <c r="I701" i="11"/>
  <c r="F701" i="11"/>
  <c r="F702" i="11" s="1"/>
  <c r="F703" i="11" s="1"/>
  <c r="E701" i="11"/>
  <c r="A701" i="11"/>
  <c r="I700" i="11"/>
  <c r="E700" i="11"/>
  <c r="A700" i="11"/>
  <c r="F699" i="11"/>
  <c r="F700" i="11" s="1"/>
  <c r="E699" i="11"/>
  <c r="A699" i="11"/>
  <c r="F698" i="11"/>
  <c r="E698" i="11"/>
  <c r="A698" i="11"/>
  <c r="E697" i="11"/>
  <c r="A697" i="11"/>
  <c r="F696" i="11"/>
  <c r="F697" i="11" s="1"/>
  <c r="E696" i="11"/>
  <c r="A696" i="11"/>
  <c r="F695" i="11"/>
  <c r="E695" i="11"/>
  <c r="A695" i="11"/>
  <c r="E694" i="11"/>
  <c r="A694" i="11"/>
  <c r="F693" i="11"/>
  <c r="F694" i="11" s="1"/>
  <c r="E693" i="11"/>
  <c r="A693" i="11"/>
  <c r="F692" i="11"/>
  <c r="E692" i="11"/>
  <c r="A692" i="11"/>
  <c r="E691" i="11"/>
  <c r="A691" i="11"/>
  <c r="E690" i="11"/>
  <c r="A690" i="11"/>
  <c r="F689" i="11"/>
  <c r="F690" i="11" s="1"/>
  <c r="F691" i="11" s="1"/>
  <c r="E689" i="11"/>
  <c r="A689" i="11"/>
  <c r="E688" i="11"/>
  <c r="A688" i="11"/>
  <c r="E687" i="11"/>
  <c r="A687" i="11"/>
  <c r="F686" i="11"/>
  <c r="F687" i="11" s="1"/>
  <c r="F688" i="11" s="1"/>
  <c r="E686" i="11"/>
  <c r="A686" i="11"/>
  <c r="E685" i="11"/>
  <c r="A685" i="11"/>
  <c r="E684" i="11"/>
  <c r="A684" i="11"/>
  <c r="F683" i="11"/>
  <c r="F684" i="11" s="1"/>
  <c r="F685" i="11" s="1"/>
  <c r="E683" i="11"/>
  <c r="A683" i="11"/>
  <c r="E682" i="11"/>
  <c r="A682" i="11"/>
  <c r="E681" i="11"/>
  <c r="A681" i="11"/>
  <c r="F680" i="11"/>
  <c r="F681" i="11" s="1"/>
  <c r="F682" i="11" s="1"/>
  <c r="E680" i="11"/>
  <c r="A680" i="11"/>
  <c r="E679" i="11"/>
  <c r="A679" i="11"/>
  <c r="E678" i="11"/>
  <c r="A678" i="11"/>
  <c r="F677" i="11"/>
  <c r="F678" i="11" s="1"/>
  <c r="F679" i="11" s="1"/>
  <c r="E677" i="11"/>
  <c r="A677" i="11"/>
  <c r="E676" i="11"/>
  <c r="A676" i="11"/>
  <c r="E675" i="11"/>
  <c r="A675" i="11"/>
  <c r="F674" i="11"/>
  <c r="F675" i="11" s="1"/>
  <c r="F676" i="11" s="1"/>
  <c r="E674" i="11"/>
  <c r="A674" i="11"/>
  <c r="E673" i="11"/>
  <c r="A673" i="11"/>
  <c r="E672" i="11"/>
  <c r="A672" i="11"/>
  <c r="F671" i="11"/>
  <c r="F672" i="11" s="1"/>
  <c r="F673" i="11" s="1"/>
  <c r="E671" i="11"/>
  <c r="A671" i="11"/>
  <c r="E670" i="11"/>
  <c r="A670" i="11"/>
  <c r="E669" i="11"/>
  <c r="A669" i="11"/>
  <c r="F668" i="11"/>
  <c r="F669" i="11" s="1"/>
  <c r="F670" i="11" s="1"/>
  <c r="E668" i="11"/>
  <c r="A668" i="11"/>
  <c r="E667" i="11"/>
  <c r="A667" i="11"/>
  <c r="E666" i="11"/>
  <c r="A666" i="11"/>
  <c r="F665" i="11"/>
  <c r="F666" i="11" s="1"/>
  <c r="F667" i="11" s="1"/>
  <c r="E665" i="11"/>
  <c r="A665" i="11"/>
  <c r="E664" i="11"/>
  <c r="A664" i="11"/>
  <c r="E663" i="11"/>
  <c r="A663" i="11"/>
  <c r="F662" i="11"/>
  <c r="F663" i="11" s="1"/>
  <c r="F664" i="11" s="1"/>
  <c r="E662" i="11"/>
  <c r="A662" i="11"/>
  <c r="E661" i="11"/>
  <c r="A661" i="11"/>
  <c r="E660" i="11"/>
  <c r="A660" i="11"/>
  <c r="F659" i="11"/>
  <c r="F660" i="11" s="1"/>
  <c r="F661" i="11" s="1"/>
  <c r="E659" i="11"/>
  <c r="A659" i="11"/>
  <c r="E658" i="11"/>
  <c r="A658" i="11"/>
  <c r="E657" i="11"/>
  <c r="A657" i="11"/>
  <c r="F656" i="11"/>
  <c r="F657" i="11" s="1"/>
  <c r="F658" i="11" s="1"/>
  <c r="E656" i="11"/>
  <c r="A656" i="11"/>
  <c r="F655" i="11"/>
  <c r="E655" i="11"/>
  <c r="A655" i="11"/>
  <c r="E654" i="11"/>
  <c r="A654" i="11"/>
  <c r="F653" i="11"/>
  <c r="F654" i="11" s="1"/>
  <c r="E653" i="11"/>
  <c r="A653" i="11"/>
  <c r="E652" i="11"/>
  <c r="A652" i="11"/>
  <c r="E651" i="11"/>
  <c r="A651" i="11"/>
  <c r="F650" i="11"/>
  <c r="F651" i="11" s="1"/>
  <c r="F652" i="11" s="1"/>
  <c r="E650" i="11"/>
  <c r="A650" i="11"/>
  <c r="E649" i="11"/>
  <c r="A649" i="11"/>
  <c r="E648" i="11"/>
  <c r="A648" i="11"/>
  <c r="F647" i="11"/>
  <c r="F648" i="11" s="1"/>
  <c r="F649" i="11" s="1"/>
  <c r="E647" i="11"/>
  <c r="A647" i="11"/>
  <c r="E646" i="11"/>
  <c r="A646" i="11"/>
  <c r="E645" i="11"/>
  <c r="A645" i="11"/>
  <c r="F644" i="11"/>
  <c r="F645" i="11" s="1"/>
  <c r="F646" i="11" s="1"/>
  <c r="E644" i="11"/>
  <c r="A644" i="11"/>
  <c r="E643" i="11"/>
  <c r="A643" i="11"/>
  <c r="E642" i="11"/>
  <c r="A642" i="11"/>
  <c r="F641" i="11"/>
  <c r="F642" i="11" s="1"/>
  <c r="F643" i="11" s="1"/>
  <c r="E641" i="11"/>
  <c r="A641" i="11"/>
  <c r="F640" i="11"/>
  <c r="E640" i="11"/>
  <c r="A640" i="11"/>
  <c r="F639" i="11"/>
  <c r="E639" i="11"/>
  <c r="A639" i="11"/>
  <c r="F638" i="11"/>
  <c r="E638" i="11"/>
  <c r="A638" i="11"/>
  <c r="E637" i="11"/>
  <c r="A637" i="11"/>
  <c r="E636" i="11"/>
  <c r="A636" i="11"/>
  <c r="E635" i="11"/>
  <c r="A635" i="11"/>
  <c r="E634" i="11"/>
  <c r="A634" i="11"/>
  <c r="E633" i="11"/>
  <c r="A633" i="11"/>
  <c r="E632" i="11"/>
  <c r="A632" i="11"/>
  <c r="E631" i="11"/>
  <c r="A631" i="11"/>
  <c r="E630" i="11"/>
  <c r="A630" i="11"/>
  <c r="E629" i="11"/>
  <c r="A629" i="11"/>
  <c r="E628" i="11"/>
  <c r="A628" i="11"/>
  <c r="E627" i="11"/>
  <c r="A627" i="11"/>
  <c r="E626" i="11"/>
  <c r="A626" i="11"/>
  <c r="E625" i="11"/>
  <c r="A625" i="11"/>
  <c r="E624" i="11"/>
  <c r="A624" i="11"/>
  <c r="E623" i="11"/>
  <c r="A623" i="11"/>
  <c r="E622" i="11"/>
  <c r="A622" i="11"/>
  <c r="E621" i="11"/>
  <c r="A621" i="11"/>
  <c r="E620" i="11"/>
  <c r="A620" i="11"/>
  <c r="E619" i="11"/>
  <c r="A619" i="11"/>
  <c r="E618" i="11"/>
  <c r="A618" i="11"/>
  <c r="E617" i="11"/>
  <c r="A617" i="11"/>
  <c r="E616" i="11"/>
  <c r="A616" i="11"/>
  <c r="E615" i="11"/>
  <c r="A615" i="11"/>
  <c r="E614" i="11"/>
  <c r="A614" i="11"/>
  <c r="E613" i="11"/>
  <c r="A613" i="11"/>
  <c r="E612" i="11"/>
  <c r="A612" i="11"/>
  <c r="E611" i="11"/>
  <c r="A611" i="11"/>
  <c r="E610" i="11"/>
  <c r="A610" i="11"/>
  <c r="E609" i="11"/>
  <c r="A609" i="11"/>
  <c r="E608" i="11"/>
  <c r="A608" i="11"/>
  <c r="E607" i="11"/>
  <c r="A607" i="11"/>
  <c r="E606" i="11"/>
  <c r="A606" i="11"/>
  <c r="E605" i="11"/>
  <c r="A605" i="11"/>
  <c r="E604" i="11"/>
  <c r="A604" i="11"/>
  <c r="E603" i="11"/>
  <c r="A603" i="11"/>
  <c r="E602" i="11"/>
  <c r="A602" i="11"/>
  <c r="E601" i="11"/>
  <c r="A601" i="11"/>
  <c r="E600" i="11"/>
  <c r="A600" i="11"/>
  <c r="E599" i="11"/>
  <c r="A599" i="11"/>
  <c r="E598" i="11"/>
  <c r="A598" i="11"/>
  <c r="E597" i="11"/>
  <c r="A597" i="11"/>
  <c r="E596" i="11"/>
  <c r="A596" i="11"/>
  <c r="E595" i="11"/>
  <c r="A595" i="11"/>
  <c r="E594" i="11"/>
  <c r="A594" i="11"/>
  <c r="E593" i="11"/>
  <c r="A593" i="11"/>
  <c r="E592" i="11"/>
  <c r="A592" i="11"/>
  <c r="E591" i="11"/>
  <c r="A591" i="11"/>
  <c r="E590" i="11"/>
  <c r="A590" i="11"/>
  <c r="E589" i="11"/>
  <c r="A589" i="11"/>
  <c r="E588" i="11"/>
  <c r="A588" i="11"/>
  <c r="E587" i="11"/>
  <c r="A587" i="11"/>
  <c r="E586" i="11"/>
  <c r="A586" i="11"/>
  <c r="E585" i="11"/>
  <c r="A585" i="11"/>
  <c r="E584" i="11"/>
  <c r="A584" i="11"/>
  <c r="E583" i="11"/>
  <c r="A583" i="11"/>
  <c r="E582" i="11"/>
  <c r="A582" i="11"/>
  <c r="E581" i="11"/>
  <c r="A581" i="11"/>
  <c r="E580" i="11"/>
  <c r="A580" i="11"/>
  <c r="E579" i="11"/>
  <c r="A579" i="11"/>
  <c r="E578" i="11"/>
  <c r="A578" i="11"/>
  <c r="E577" i="11"/>
  <c r="A577" i="11"/>
  <c r="E576" i="11"/>
  <c r="A576" i="11"/>
  <c r="E575" i="11"/>
  <c r="A575" i="11"/>
  <c r="E574" i="11"/>
  <c r="A574" i="11"/>
  <c r="E573" i="11"/>
  <c r="A573" i="11"/>
  <c r="E572" i="11"/>
  <c r="A572" i="11"/>
  <c r="E571" i="11"/>
  <c r="A571" i="11"/>
  <c r="E570" i="11"/>
  <c r="A570" i="11"/>
  <c r="E569" i="11"/>
  <c r="A569" i="11"/>
  <c r="E568" i="11"/>
  <c r="A568" i="11"/>
  <c r="E567" i="11"/>
  <c r="A567" i="11"/>
  <c r="E566" i="11"/>
  <c r="A566" i="11"/>
  <c r="E565" i="11"/>
  <c r="A565" i="11"/>
  <c r="E564" i="11"/>
  <c r="A564" i="11"/>
  <c r="E563" i="11"/>
  <c r="A563" i="11"/>
  <c r="E562" i="11"/>
  <c r="A562" i="11"/>
  <c r="E561" i="11"/>
  <c r="A561" i="11"/>
  <c r="E560" i="11"/>
  <c r="A560" i="11"/>
  <c r="E559" i="11"/>
  <c r="A559" i="11"/>
  <c r="E558" i="11"/>
  <c r="A558" i="11"/>
  <c r="E557" i="11"/>
  <c r="A557" i="11"/>
  <c r="E556" i="11"/>
  <c r="A556" i="11"/>
  <c r="E555" i="11"/>
  <c r="A555" i="11"/>
  <c r="E554" i="11"/>
  <c r="A554" i="11"/>
  <c r="E553" i="11"/>
  <c r="A553" i="11"/>
  <c r="E552" i="11"/>
  <c r="A552" i="11"/>
  <c r="E551" i="11"/>
  <c r="A551" i="11"/>
  <c r="E550" i="11"/>
  <c r="A550" i="11"/>
  <c r="E549" i="11"/>
  <c r="A549" i="11"/>
  <c r="E548" i="11"/>
  <c r="A548" i="11"/>
  <c r="E547" i="11"/>
  <c r="A547" i="11"/>
  <c r="E546" i="11"/>
  <c r="A546" i="11"/>
  <c r="E545" i="11"/>
  <c r="A545" i="11"/>
  <c r="E544" i="11"/>
  <c r="A544" i="11"/>
  <c r="E543" i="11"/>
  <c r="A543" i="11"/>
  <c r="E542" i="11"/>
  <c r="A542" i="11"/>
  <c r="E541" i="11"/>
  <c r="A541" i="11"/>
  <c r="E540" i="11"/>
  <c r="A540" i="11"/>
  <c r="E539" i="11"/>
  <c r="A539" i="11"/>
  <c r="E538" i="11"/>
  <c r="A538" i="11"/>
  <c r="E537" i="11"/>
  <c r="A537" i="11"/>
  <c r="E536" i="11"/>
  <c r="A536" i="11"/>
  <c r="E535" i="11"/>
  <c r="A535" i="11"/>
  <c r="E534" i="11"/>
  <c r="A534" i="11"/>
  <c r="E533" i="11"/>
  <c r="A533" i="11"/>
  <c r="E532" i="11"/>
  <c r="A532" i="11"/>
  <c r="E531" i="11"/>
  <c r="A531" i="11"/>
  <c r="E530" i="11"/>
  <c r="A530" i="11"/>
  <c r="E529" i="11"/>
  <c r="A529" i="11"/>
  <c r="E528" i="11"/>
  <c r="A528" i="11"/>
  <c r="E527" i="11"/>
  <c r="A527" i="11"/>
  <c r="E526" i="11"/>
  <c r="A526" i="11"/>
  <c r="E525" i="11"/>
  <c r="A525" i="11"/>
  <c r="E524" i="11"/>
  <c r="A524" i="11"/>
  <c r="E523" i="11"/>
  <c r="A523" i="11"/>
  <c r="E522" i="11"/>
  <c r="A522" i="11"/>
  <c r="E521" i="11"/>
  <c r="A521" i="11"/>
  <c r="E520" i="11"/>
  <c r="A520" i="11"/>
  <c r="E519" i="11"/>
  <c r="A519" i="11"/>
  <c r="E518" i="11"/>
  <c r="A518" i="11"/>
  <c r="E517" i="11"/>
  <c r="A517" i="11"/>
  <c r="E516" i="11"/>
  <c r="A516" i="11"/>
  <c r="E515" i="11"/>
  <c r="A515" i="11"/>
  <c r="E514" i="11"/>
  <c r="A514" i="11"/>
  <c r="E513" i="11"/>
  <c r="A513" i="11"/>
  <c r="E512" i="11"/>
  <c r="A512" i="11"/>
  <c r="E511" i="11"/>
  <c r="A511" i="11"/>
  <c r="E510" i="11"/>
  <c r="A510" i="11"/>
  <c r="E509" i="11"/>
  <c r="A509" i="11"/>
  <c r="E508" i="11"/>
  <c r="A508" i="11"/>
  <c r="E507" i="11"/>
  <c r="A507" i="11"/>
  <c r="E506" i="11"/>
  <c r="A506" i="11"/>
  <c r="E505" i="11"/>
  <c r="A505" i="11"/>
  <c r="E504" i="11"/>
  <c r="A504" i="11"/>
  <c r="E503" i="11"/>
  <c r="A503" i="11"/>
  <c r="E502" i="11"/>
  <c r="A502" i="11"/>
  <c r="E501" i="11"/>
  <c r="A501" i="11"/>
  <c r="E500" i="11"/>
  <c r="A500" i="11"/>
  <c r="E499" i="11"/>
  <c r="A499" i="11"/>
  <c r="E498" i="11"/>
  <c r="A498" i="11"/>
  <c r="E497" i="11"/>
  <c r="A497" i="11"/>
  <c r="E496" i="11"/>
  <c r="A496" i="11"/>
  <c r="E495" i="11"/>
  <c r="A495" i="11"/>
  <c r="E494" i="11"/>
  <c r="A494" i="11"/>
  <c r="E493" i="11"/>
  <c r="A493" i="11"/>
  <c r="E492" i="11"/>
  <c r="A492" i="11"/>
  <c r="E491" i="11"/>
  <c r="A491" i="11"/>
  <c r="E490" i="11"/>
  <c r="A490" i="11"/>
  <c r="E489" i="11"/>
  <c r="A489" i="11"/>
  <c r="E488" i="11"/>
  <c r="A488" i="11"/>
  <c r="E487" i="11"/>
  <c r="A487" i="11"/>
  <c r="E486" i="11"/>
  <c r="A486" i="11"/>
  <c r="E485" i="11"/>
  <c r="A485" i="11"/>
  <c r="E484" i="11"/>
  <c r="A484" i="11"/>
  <c r="E483" i="11"/>
  <c r="A483" i="11"/>
  <c r="E482" i="11"/>
  <c r="A482" i="11"/>
  <c r="E481" i="11"/>
  <c r="A481" i="11"/>
  <c r="E480" i="11"/>
  <c r="A480" i="11"/>
  <c r="E479" i="11"/>
  <c r="A479" i="11"/>
  <c r="E478" i="11"/>
  <c r="A478" i="11"/>
  <c r="E477" i="11"/>
  <c r="A477" i="11"/>
  <c r="E476" i="11"/>
  <c r="A476" i="11"/>
  <c r="E475" i="11"/>
  <c r="A475" i="11"/>
  <c r="E474" i="11"/>
  <c r="A474" i="11"/>
  <c r="E473" i="11"/>
  <c r="A473" i="11"/>
  <c r="E472" i="11"/>
  <c r="A472" i="11"/>
  <c r="E471" i="11"/>
  <c r="A471" i="11"/>
  <c r="E470" i="11"/>
  <c r="A470" i="11"/>
  <c r="E469" i="11"/>
  <c r="A469" i="11"/>
  <c r="E468" i="11"/>
  <c r="A468" i="11"/>
  <c r="E467" i="11"/>
  <c r="A467" i="11"/>
  <c r="E466" i="11"/>
  <c r="A466" i="11"/>
  <c r="E465" i="11"/>
  <c r="A465" i="11"/>
  <c r="E464" i="11"/>
  <c r="A464" i="11"/>
  <c r="E463" i="11"/>
  <c r="A463" i="11"/>
  <c r="E462" i="11"/>
  <c r="A462" i="11"/>
  <c r="E461" i="11"/>
  <c r="A461" i="11"/>
  <c r="E460" i="11"/>
  <c r="A460" i="11"/>
  <c r="E459" i="11"/>
  <c r="A459" i="11"/>
  <c r="E458" i="11"/>
  <c r="A458" i="11"/>
  <c r="E457" i="11"/>
  <c r="A457" i="11"/>
  <c r="E456" i="11"/>
  <c r="A456" i="11"/>
  <c r="E455" i="11"/>
  <c r="A455" i="11"/>
  <c r="E454" i="11"/>
  <c r="A454" i="11"/>
  <c r="E453" i="11"/>
  <c r="A453" i="11"/>
  <c r="E452" i="11"/>
  <c r="A452" i="11"/>
  <c r="E451" i="11"/>
  <c r="A451" i="11"/>
  <c r="E450" i="11"/>
  <c r="A450" i="11"/>
  <c r="E449" i="11"/>
  <c r="A449" i="11"/>
  <c r="E448" i="11"/>
  <c r="A448" i="11"/>
  <c r="E447" i="11"/>
  <c r="A447" i="11"/>
  <c r="E446" i="11"/>
  <c r="A446" i="11"/>
  <c r="E445" i="11"/>
  <c r="A445" i="11"/>
  <c r="E444" i="11"/>
  <c r="A444" i="11"/>
  <c r="E443" i="11"/>
  <c r="A443" i="11"/>
  <c r="E442" i="11"/>
  <c r="A442" i="11"/>
  <c r="E441" i="11"/>
  <c r="A441" i="11"/>
  <c r="E440" i="11"/>
  <c r="A440" i="11"/>
  <c r="E439" i="11"/>
  <c r="A439" i="11"/>
  <c r="E438" i="11"/>
  <c r="A438" i="11"/>
  <c r="E437" i="11"/>
  <c r="A437" i="11"/>
  <c r="E436" i="11"/>
  <c r="A436" i="11"/>
  <c r="E435" i="11"/>
  <c r="A435" i="11"/>
  <c r="E434" i="11"/>
  <c r="A434" i="11"/>
  <c r="E433" i="11"/>
  <c r="A433" i="11"/>
  <c r="E432" i="11"/>
  <c r="A432" i="11"/>
  <c r="E431" i="11"/>
  <c r="A431" i="11"/>
  <c r="E430" i="11"/>
  <c r="A430" i="11"/>
  <c r="E429" i="11"/>
  <c r="A429" i="11"/>
  <c r="E428" i="11"/>
  <c r="A428" i="11"/>
  <c r="E427" i="11"/>
  <c r="A427" i="11"/>
  <c r="E426" i="11"/>
  <c r="A426" i="11"/>
  <c r="E425" i="11"/>
  <c r="A425" i="11"/>
  <c r="E424" i="11"/>
  <c r="A424" i="11"/>
  <c r="E423" i="11"/>
  <c r="A423" i="11"/>
  <c r="E422" i="11"/>
  <c r="A422" i="11"/>
  <c r="E421" i="11"/>
  <c r="A421" i="11"/>
  <c r="E420" i="11"/>
  <c r="A420" i="11"/>
  <c r="E419" i="11"/>
  <c r="A419" i="11"/>
  <c r="E418" i="11"/>
  <c r="A418" i="11"/>
  <c r="E417" i="11"/>
  <c r="A417" i="11"/>
  <c r="E416" i="11"/>
  <c r="A416" i="11"/>
  <c r="E415" i="11"/>
  <c r="A415" i="11"/>
  <c r="E414" i="11"/>
  <c r="A414" i="11"/>
  <c r="E413" i="11"/>
  <c r="A413" i="11"/>
  <c r="E412" i="11"/>
  <c r="A412" i="11"/>
  <c r="E411" i="11"/>
  <c r="A411" i="11"/>
  <c r="E410" i="11"/>
  <c r="A410" i="11"/>
  <c r="E409" i="11"/>
  <c r="A409" i="11"/>
  <c r="E408" i="11"/>
  <c r="A408" i="11"/>
  <c r="E407" i="11"/>
  <c r="A407" i="11"/>
  <c r="E406" i="11"/>
  <c r="A406" i="11"/>
  <c r="E405" i="11"/>
  <c r="A405" i="11"/>
  <c r="E404" i="11"/>
  <c r="A404" i="11"/>
  <c r="E403" i="11"/>
  <c r="A403" i="11"/>
  <c r="E402" i="11"/>
  <c r="A402" i="11"/>
  <c r="E401" i="11"/>
  <c r="A401" i="11"/>
  <c r="E400" i="11"/>
  <c r="A400" i="11"/>
  <c r="E399" i="11"/>
  <c r="A399" i="11"/>
  <c r="E398" i="11"/>
  <c r="A398" i="11"/>
  <c r="E397" i="11"/>
  <c r="A397" i="11"/>
  <c r="E396" i="11"/>
  <c r="A396" i="11"/>
  <c r="E395" i="11"/>
  <c r="A395" i="11"/>
  <c r="E394" i="11"/>
  <c r="A394" i="11"/>
  <c r="E393" i="11"/>
  <c r="A393" i="11"/>
  <c r="E392" i="11"/>
  <c r="A392" i="11"/>
  <c r="E391" i="11"/>
  <c r="A391" i="11"/>
  <c r="E390" i="11"/>
  <c r="A390" i="11"/>
  <c r="E389" i="11"/>
  <c r="A389" i="11"/>
  <c r="E388" i="11"/>
  <c r="A388" i="11"/>
  <c r="E387" i="11"/>
  <c r="A387" i="11"/>
  <c r="E386" i="11"/>
  <c r="A386" i="11"/>
  <c r="E385" i="11"/>
  <c r="A385" i="11"/>
  <c r="E384" i="11"/>
  <c r="A384" i="11"/>
  <c r="E383" i="11"/>
  <c r="A383" i="11"/>
  <c r="E382" i="11"/>
  <c r="A382" i="11"/>
  <c r="E381" i="11"/>
  <c r="A381" i="11"/>
  <c r="E380" i="11"/>
  <c r="A380" i="11"/>
  <c r="E379" i="11"/>
  <c r="A379" i="11"/>
  <c r="E378" i="11"/>
  <c r="A378" i="11"/>
  <c r="E377" i="11"/>
  <c r="A377" i="11"/>
  <c r="E376" i="11"/>
  <c r="A376" i="11"/>
  <c r="E375" i="11"/>
  <c r="A375" i="11"/>
  <c r="E374" i="11"/>
  <c r="A374" i="11"/>
  <c r="E373" i="11"/>
  <c r="A373" i="11"/>
  <c r="E372" i="11"/>
  <c r="A372" i="11"/>
  <c r="E371" i="11"/>
  <c r="A371" i="11"/>
  <c r="A370" i="11"/>
  <c r="A369" i="11"/>
  <c r="A368" i="11"/>
  <c r="A367" i="11"/>
  <c r="A366" i="11"/>
  <c r="A365" i="11"/>
  <c r="A364" i="11"/>
  <c r="A363" i="11"/>
  <c r="A362" i="11"/>
  <c r="A361" i="11"/>
  <c r="A360" i="11"/>
  <c r="A359" i="11"/>
  <c r="A358" i="11"/>
  <c r="A357" i="11"/>
  <c r="A356" i="11"/>
  <c r="A355" i="11"/>
  <c r="A354" i="11"/>
  <c r="A353" i="11"/>
  <c r="A352" i="11"/>
  <c r="A351" i="11"/>
  <c r="A350" i="11"/>
  <c r="A349" i="11"/>
  <c r="A348" i="11"/>
  <c r="A347" i="11"/>
  <c r="A346" i="11"/>
  <c r="A345" i="11"/>
  <c r="A344" i="11"/>
  <c r="A343" i="11"/>
  <c r="A342" i="11"/>
  <c r="A341" i="11"/>
  <c r="A340" i="11"/>
  <c r="A339" i="11"/>
  <c r="A338" i="11"/>
  <c r="A337" i="11"/>
  <c r="A336" i="11"/>
  <c r="A335" i="11"/>
  <c r="A334" i="11"/>
  <c r="A333" i="11"/>
  <c r="A332" i="11"/>
  <c r="A331" i="11"/>
  <c r="A330" i="11"/>
  <c r="A329" i="11"/>
  <c r="A328" i="11"/>
  <c r="A327" i="11"/>
  <c r="A326" i="11"/>
  <c r="A325" i="11"/>
  <c r="A324" i="11"/>
  <c r="A323" i="11"/>
  <c r="A322" i="11"/>
  <c r="A321" i="11"/>
  <c r="A320" i="11"/>
  <c r="A319" i="11"/>
  <c r="A318" i="11"/>
  <c r="A317" i="11"/>
  <c r="A316" i="11"/>
  <c r="A315" i="11"/>
  <c r="A314" i="11"/>
  <c r="A313" i="11"/>
  <c r="A312" i="11"/>
  <c r="A311" i="11"/>
  <c r="A310" i="11"/>
  <c r="A309" i="11"/>
  <c r="A308" i="11"/>
  <c r="A307" i="11"/>
  <c r="A306" i="11"/>
  <c r="A305" i="11"/>
  <c r="A304" i="11"/>
  <c r="A303" i="11"/>
  <c r="A302" i="11"/>
  <c r="A301" i="11"/>
  <c r="A300" i="11"/>
  <c r="A299" i="11"/>
  <c r="A298" i="11"/>
  <c r="A297" i="11"/>
  <c r="A296" i="11"/>
  <c r="A295" i="11"/>
  <c r="A294" i="11"/>
  <c r="A293" i="11"/>
  <c r="A292" i="11"/>
  <c r="A291" i="11"/>
  <c r="A290" i="11"/>
  <c r="A289" i="11"/>
  <c r="A288" i="11"/>
  <c r="A287" i="11"/>
  <c r="A286" i="11"/>
  <c r="A285" i="11"/>
  <c r="A284" i="11"/>
  <c r="A283" i="11"/>
  <c r="A282" i="11"/>
  <c r="A281" i="11"/>
  <c r="A280" i="11"/>
  <c r="A279" i="11"/>
  <c r="A278" i="11"/>
  <c r="A277" i="11"/>
  <c r="A276" i="11"/>
  <c r="A275" i="11"/>
  <c r="A274" i="11"/>
  <c r="A273" i="11"/>
  <c r="A272" i="11"/>
  <c r="A271"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A7" i="11"/>
  <c r="A6" i="11"/>
  <c r="A5" i="11"/>
  <c r="A4" i="11"/>
  <c r="A3" i="11"/>
  <c r="A2" i="11"/>
  <c r="F725" i="11" l="1"/>
  <c r="F726" i="11" s="1"/>
  <c r="F727" i="11" s="1"/>
  <c r="I739" i="11"/>
  <c r="I729" i="11"/>
  <c r="F731" i="11"/>
  <c r="F732" i="11" s="1"/>
  <c r="F733" i="11" s="1"/>
  <c r="I752" i="11"/>
  <c r="I735" i="11"/>
  <c r="I742" i="11"/>
  <c r="I744" i="11"/>
  <c r="I733" i="11"/>
  <c r="I740" i="11"/>
  <c r="I749" i="11"/>
  <c r="I730" i="11"/>
  <c r="I734" i="11"/>
  <c r="I732" i="11"/>
  <c r="F737" i="11"/>
  <c r="F738" i="11" s="1"/>
  <c r="F739" i="11" s="1"/>
  <c r="I751" i="11"/>
  <c r="F743" i="11"/>
  <c r="F744" i="11" s="1"/>
  <c r="F745" i="11" s="1"/>
  <c r="I743" i="11"/>
  <c r="I747" i="11"/>
  <c r="I728" i="11"/>
  <c r="C752" i="11"/>
  <c r="F815" i="11"/>
  <c r="F816" i="11" s="1"/>
  <c r="F817" i="11" s="1"/>
  <c r="C814" i="11"/>
  <c r="F809" i="11"/>
  <c r="F810" i="11" s="1"/>
  <c r="F811" i="11" s="1"/>
  <c r="F833" i="11"/>
  <c r="F834" i="11" s="1"/>
  <c r="F835" i="11" s="1"/>
  <c r="F839" i="11"/>
  <c r="F840" i="11" s="1"/>
  <c r="F841" i="11" s="1"/>
  <c r="I736" i="11"/>
  <c r="F728" i="11"/>
  <c r="F729" i="11" s="1"/>
  <c r="F730" i="11" s="1"/>
  <c r="I748" i="11"/>
  <c r="F740" i="11"/>
  <c r="F741" i="11" s="1"/>
  <c r="F742" i="11" s="1"/>
  <c r="F752" i="11"/>
  <c r="F753" i="11" s="1"/>
  <c r="F754" i="11" s="1"/>
  <c r="C816" i="11"/>
  <c r="I723" i="11"/>
  <c r="I727" i="11"/>
  <c r="I731" i="11"/>
  <c r="C808" i="11"/>
  <c r="I817" i="11" s="1"/>
  <c r="L68" i="12" s="1"/>
  <c r="C820" i="11"/>
  <c r="I720" i="11"/>
  <c r="I724" i="11"/>
  <c r="C823" i="11"/>
  <c r="C825" i="11"/>
  <c r="F824" i="11" l="1"/>
  <c r="F825" i="11" s="1"/>
  <c r="F826" i="11" s="1"/>
  <c r="F818" i="11"/>
  <c r="F819" i="11" s="1"/>
  <c r="F820" i="11" s="1"/>
  <c r="I826" i="11"/>
  <c r="L77" i="12" s="1"/>
  <c r="I822" i="11"/>
  <c r="L73" i="12" s="1"/>
  <c r="C753" i="11"/>
  <c r="F812" i="11"/>
  <c r="F813" i="11" s="1"/>
  <c r="F814" i="11" s="1"/>
  <c r="I835" i="11"/>
  <c r="L86" i="12" s="1"/>
  <c r="F827" i="11"/>
  <c r="F828" i="11" s="1"/>
  <c r="F829" i="11" s="1"/>
  <c r="I753" i="11"/>
  <c r="C826" i="11"/>
  <c r="I836" i="11" s="1"/>
  <c r="L87" i="12" s="1"/>
  <c r="I834" i="11"/>
  <c r="L85" i="12" s="1"/>
  <c r="I819" i="11"/>
  <c r="L70" i="12" s="1"/>
  <c r="I828" i="11"/>
  <c r="L79" i="12" s="1"/>
  <c r="C817" i="11"/>
  <c r="I820" i="11" s="1"/>
  <c r="L71" i="12" s="1"/>
  <c r="I825" i="11"/>
  <c r="L76" i="12" s="1"/>
  <c r="I839" i="11" l="1"/>
  <c r="L90" i="12" s="1"/>
  <c r="F842" i="11"/>
  <c r="F843" i="11" s="1"/>
  <c r="F844" i="11" s="1"/>
  <c r="I841" i="11"/>
  <c r="L92" i="12" s="1"/>
  <c r="I842" i="11"/>
  <c r="L93" i="12" s="1"/>
  <c r="I832" i="11"/>
  <c r="L83" i="12" s="1"/>
  <c r="I829" i="11"/>
  <c r="L80" i="12" s="1"/>
  <c r="F821" i="11"/>
  <c r="F822" i="11" s="1"/>
  <c r="F823" i="11" s="1"/>
  <c r="I837" i="11"/>
  <c r="L88" i="12" s="1"/>
  <c r="I831" i="11"/>
  <c r="L82" i="12" s="1"/>
  <c r="I823" i="11"/>
  <c r="L74" i="12" s="1"/>
  <c r="I818" i="11"/>
  <c r="L69" i="12" s="1"/>
  <c r="C754" i="11"/>
  <c r="I754" i="11"/>
  <c r="F755" i="11"/>
  <c r="F756" i="11" s="1"/>
  <c r="F757" i="11" s="1"/>
  <c r="L89" i="12"/>
  <c r="F830" i="11"/>
  <c r="F831" i="11" s="1"/>
  <c r="F832" i="11" s="1"/>
  <c r="I833" i="11"/>
  <c r="L84" i="12" s="1"/>
  <c r="I824" i="11"/>
  <c r="L75" i="12" s="1"/>
  <c r="I821" i="11"/>
  <c r="L72" i="12" s="1"/>
  <c r="I830" i="11"/>
  <c r="L81" i="12" s="1"/>
  <c r="I827" i="11"/>
  <c r="L78" i="12" s="1"/>
  <c r="I843" i="11" l="1"/>
  <c r="L94" i="12" s="1"/>
  <c r="I840" i="11"/>
  <c r="L91" i="12" s="1"/>
  <c r="C755" i="11"/>
  <c r="I755" i="11"/>
  <c r="I756" i="11"/>
  <c r="I844" i="11" l="1"/>
  <c r="L95" i="12" s="1"/>
  <c r="C756" i="11"/>
  <c r="I757" i="11" s="1"/>
  <c r="F845" i="11" l="1"/>
  <c r="F846" i="11" s="1"/>
  <c r="F847" i="11" s="1"/>
  <c r="C757" i="11"/>
  <c r="F758" i="11"/>
  <c r="F759" i="11" s="1"/>
  <c r="F760" i="11" s="1"/>
  <c r="C845" i="11" l="1"/>
  <c r="I845" i="11"/>
  <c r="L96" i="12" s="1"/>
  <c r="D30" i="12"/>
  <c r="D26" i="12"/>
  <c r="D22" i="12"/>
  <c r="D28" i="12"/>
  <c r="D31" i="12"/>
  <c r="D27" i="12"/>
  <c r="D23" i="12"/>
  <c r="D29" i="12"/>
  <c r="D25" i="12"/>
  <c r="D21" i="12"/>
  <c r="D32" i="12"/>
  <c r="D24" i="12"/>
  <c r="C758" i="11"/>
  <c r="I758" i="11"/>
  <c r="C846" i="11" l="1"/>
  <c r="L97" i="12"/>
  <c r="C759" i="11"/>
  <c r="I759" i="11"/>
  <c r="F761" i="11"/>
  <c r="F762" i="11" s="1"/>
  <c r="F763" i="11" s="1"/>
  <c r="C847" i="11" l="1"/>
  <c r="F851" i="11" s="1"/>
  <c r="F852" i="11" s="1"/>
  <c r="F853" i="11" s="1"/>
  <c r="I847" i="11"/>
  <c r="L98" i="12" s="1"/>
  <c r="F848" i="11"/>
  <c r="F849" i="11" s="1"/>
  <c r="F850" i="11" s="1"/>
  <c r="D44" i="12"/>
  <c r="D35" i="12"/>
  <c r="D34" i="12"/>
  <c r="D33" i="12"/>
  <c r="D39" i="12"/>
  <c r="D38" i="12"/>
  <c r="D37" i="12"/>
  <c r="D43" i="12"/>
  <c r="D42" i="12"/>
  <c r="D36" i="12"/>
  <c r="D41" i="12"/>
  <c r="D40" i="12"/>
  <c r="F22" i="12"/>
  <c r="J22" i="12" s="1"/>
  <c r="C760" i="11"/>
  <c r="I761" i="11" s="1"/>
  <c r="I760" i="11"/>
  <c r="D46" i="12" l="1"/>
  <c r="D66" i="12"/>
  <c r="D47" i="12"/>
  <c r="D56" i="12"/>
  <c r="D45" i="12"/>
  <c r="D51" i="12"/>
  <c r="D50" i="12"/>
  <c r="D49" i="12"/>
  <c r="D55" i="12"/>
  <c r="D54" i="12"/>
  <c r="D52" i="12"/>
  <c r="D53" i="12"/>
  <c r="D48" i="12"/>
  <c r="F23" i="12"/>
  <c r="J23" i="12" s="1"/>
  <c r="C761" i="11"/>
  <c r="D64" i="12" l="1"/>
  <c r="D65" i="12"/>
  <c r="D60" i="12"/>
  <c r="D68" i="12"/>
  <c r="D59" i="12"/>
  <c r="D58" i="12"/>
  <c r="D57" i="12"/>
  <c r="D63" i="12"/>
  <c r="D62" i="12"/>
  <c r="D61" i="12"/>
  <c r="D67" i="12"/>
  <c r="F24" i="12"/>
  <c r="C762" i="11"/>
  <c r="I762" i="11"/>
  <c r="F764" i="11"/>
  <c r="F765" i="11" s="1"/>
  <c r="F766" i="11" s="1"/>
  <c r="F25" i="12" l="1"/>
  <c r="F14" i="12"/>
  <c r="C763" i="11"/>
  <c r="I763" i="11"/>
  <c r="F26" i="12" l="1"/>
  <c r="D14" i="12"/>
  <c r="D78" i="12"/>
  <c r="D74" i="12"/>
  <c r="D70" i="12"/>
  <c r="D75" i="12"/>
  <c r="D71" i="12"/>
  <c r="D77" i="12"/>
  <c r="D73" i="12"/>
  <c r="D69" i="12"/>
  <c r="D76" i="12"/>
  <c r="D72" i="12"/>
  <c r="D79" i="12"/>
  <c r="H14" i="12"/>
  <c r="C764" i="11"/>
  <c r="I764" i="11"/>
  <c r="F27" i="12" l="1"/>
  <c r="C765" i="11"/>
  <c r="I765" i="11"/>
  <c r="F767" i="11"/>
  <c r="F768" i="11" s="1"/>
  <c r="F769" i="11" s="1"/>
  <c r="F28" i="12" l="1"/>
  <c r="C766" i="11"/>
  <c r="I766" i="11"/>
  <c r="F29" i="12" l="1"/>
  <c r="C767" i="11"/>
  <c r="I767" i="11"/>
  <c r="F30" i="12" l="1"/>
  <c r="F31" i="12" s="1"/>
  <c r="C768" i="11"/>
  <c r="I768" i="11"/>
  <c r="F32" i="12" l="1"/>
  <c r="C769" i="11"/>
  <c r="I769" i="11"/>
  <c r="F770" i="11"/>
  <c r="F771" i="11" s="1"/>
  <c r="F772" i="11" s="1"/>
  <c r="F33" i="12" l="1"/>
  <c r="C770" i="11"/>
  <c r="I770" i="11"/>
  <c r="L21" i="12" s="1"/>
  <c r="N21" i="12" s="1"/>
  <c r="F34" i="12" l="1"/>
  <c r="F35" i="12" s="1"/>
  <c r="P21" i="12"/>
  <c r="C771" i="11"/>
  <c r="I771" i="11"/>
  <c r="L22" i="12" s="1"/>
  <c r="N22" i="12" s="1"/>
  <c r="F773" i="11"/>
  <c r="F774" i="11" s="1"/>
  <c r="F775" i="11" s="1"/>
  <c r="P22" i="12" l="1"/>
  <c r="F36" i="12"/>
  <c r="F37" i="12" s="1"/>
  <c r="C772" i="11"/>
  <c r="I772" i="11"/>
  <c r="L23" i="12" s="1"/>
  <c r="N23" i="12" s="1"/>
  <c r="H26" i="12" s="1"/>
  <c r="H25" i="12" l="1"/>
  <c r="J25" i="12" s="1"/>
  <c r="H24" i="12"/>
  <c r="J24" i="12" s="1"/>
  <c r="J26" i="12"/>
  <c r="P23" i="12"/>
  <c r="F38" i="12"/>
  <c r="C773" i="11"/>
  <c r="I773" i="11"/>
  <c r="L24" i="12" s="1"/>
  <c r="N24" i="12" l="1"/>
  <c r="P24" i="12" s="1"/>
  <c r="F39" i="12"/>
  <c r="C774" i="11"/>
  <c r="I774" i="11"/>
  <c r="L25" i="12" s="1"/>
  <c r="N25" i="12" s="1"/>
  <c r="F776" i="11"/>
  <c r="F777" i="11" s="1"/>
  <c r="F778" i="11" s="1"/>
  <c r="P25" i="12" l="1"/>
  <c r="F40" i="12"/>
  <c r="C775" i="11"/>
  <c r="I775" i="11"/>
  <c r="L26" i="12" s="1"/>
  <c r="N26" i="12" s="1"/>
  <c r="H27" i="12" s="1"/>
  <c r="J27" i="12" s="1"/>
  <c r="P26" i="12" l="1"/>
  <c r="H29" i="12"/>
  <c r="H28" i="12"/>
  <c r="J28" i="12" s="1"/>
  <c r="F41" i="12"/>
  <c r="C776" i="11"/>
  <c r="I776" i="11"/>
  <c r="L27" i="12" s="1"/>
  <c r="N27" i="12" s="1"/>
  <c r="P27" i="12" l="1"/>
  <c r="J29" i="12"/>
  <c r="F42" i="12"/>
  <c r="F43" i="12" s="1"/>
  <c r="C777" i="11"/>
  <c r="I777" i="11"/>
  <c r="L28" i="12" s="1"/>
  <c r="N28" i="12" s="1"/>
  <c r="P28" i="12" l="1"/>
  <c r="F44" i="12"/>
  <c r="C778" i="11"/>
  <c r="I778" i="11"/>
  <c r="L29" i="12" s="1"/>
  <c r="N29" i="12" s="1"/>
  <c r="F779" i="11"/>
  <c r="F780" i="11" s="1"/>
  <c r="F781" i="11" s="1"/>
  <c r="P29" i="12" l="1"/>
  <c r="H32" i="12"/>
  <c r="H30" i="12"/>
  <c r="J30" i="12" s="1"/>
  <c r="H31" i="12"/>
  <c r="J31" i="12" s="1"/>
  <c r="F45" i="12"/>
  <c r="F46" i="12" s="1"/>
  <c r="F47" i="12" s="1"/>
  <c r="C779" i="11"/>
  <c r="I779" i="11"/>
  <c r="L30" i="12" s="1"/>
  <c r="N30" i="12" l="1"/>
  <c r="J32" i="12"/>
  <c r="F48" i="12"/>
  <c r="F49" i="12" s="1"/>
  <c r="F50" i="12" s="1"/>
  <c r="C780" i="11"/>
  <c r="I780" i="11"/>
  <c r="L31" i="12" s="1"/>
  <c r="N31" i="12" s="1"/>
  <c r="P31" i="12" l="1"/>
  <c r="P30" i="12"/>
  <c r="F51" i="12"/>
  <c r="F52" i="12" s="1"/>
  <c r="F53" i="12" s="1"/>
  <c r="C781" i="11"/>
  <c r="I781" i="11"/>
  <c r="L32" i="12" s="1"/>
  <c r="N32" i="12" s="1"/>
  <c r="F782" i="11"/>
  <c r="F783" i="11" s="1"/>
  <c r="F784" i="11" s="1"/>
  <c r="H33" i="12" l="1"/>
  <c r="J33" i="12" s="1"/>
  <c r="P32" i="12"/>
  <c r="H35" i="12"/>
  <c r="H34" i="12"/>
  <c r="J34" i="12" s="1"/>
  <c r="N34" i="12" s="1"/>
  <c r="F54" i="12"/>
  <c r="F55" i="12" s="1"/>
  <c r="C782" i="11"/>
  <c r="I782" i="11"/>
  <c r="L33" i="12" s="1"/>
  <c r="J35" i="12" l="1"/>
  <c r="N33" i="12"/>
  <c r="F56" i="12"/>
  <c r="C783" i="11"/>
  <c r="I783" i="11"/>
  <c r="L34" i="12" s="1"/>
  <c r="F785" i="11"/>
  <c r="F786" i="11" s="1"/>
  <c r="F787" i="11" s="1"/>
  <c r="P34" i="12" l="1"/>
  <c r="P33" i="12"/>
  <c r="F57" i="12"/>
  <c r="F58" i="12" s="1"/>
  <c r="C784" i="11"/>
  <c r="I784" i="11"/>
  <c r="L35" i="12" s="1"/>
  <c r="N35" i="12" s="1"/>
  <c r="H38" i="12" l="1"/>
  <c r="P35" i="12"/>
  <c r="H36" i="12"/>
  <c r="J36" i="12" s="1"/>
  <c r="H37" i="12"/>
  <c r="J37" i="12" s="1"/>
  <c r="F59" i="12"/>
  <c r="C785" i="11"/>
  <c r="I785" i="11"/>
  <c r="L36" i="12" s="1"/>
  <c r="N36" i="12" l="1"/>
  <c r="J38" i="12"/>
  <c r="F60" i="12"/>
  <c r="F61" i="12" s="1"/>
  <c r="C786" i="11"/>
  <c r="I786" i="11"/>
  <c r="L37" i="12" s="1"/>
  <c r="N37" i="12" s="1"/>
  <c r="F788" i="11"/>
  <c r="F789" i="11" s="1"/>
  <c r="F790" i="11" s="1"/>
  <c r="P37" i="12" l="1"/>
  <c r="P36" i="12"/>
  <c r="F62" i="12"/>
  <c r="C787" i="11"/>
  <c r="I787" i="11"/>
  <c r="L38" i="12" s="1"/>
  <c r="N38" i="12" s="1"/>
  <c r="P38" i="12" l="1"/>
  <c r="H41" i="12"/>
  <c r="H40" i="12"/>
  <c r="J40" i="12" s="1"/>
  <c r="H39" i="12"/>
  <c r="J39" i="12" s="1"/>
  <c r="F63" i="12"/>
  <c r="F64" i="12" s="1"/>
  <c r="F65" i="12" s="1"/>
  <c r="C788" i="11"/>
  <c r="I788" i="11"/>
  <c r="L39" i="12" s="1"/>
  <c r="J41" i="12" l="1"/>
  <c r="N39" i="12"/>
  <c r="F66" i="12"/>
  <c r="C789" i="11"/>
  <c r="I789" i="11"/>
  <c r="L40" i="12" s="1"/>
  <c r="N40" i="12" s="1"/>
  <c r="P40" i="12" l="1"/>
  <c r="P39" i="12"/>
  <c r="F67" i="12"/>
  <c r="C790" i="11"/>
  <c r="I790" i="11"/>
  <c r="L41" i="12" s="1"/>
  <c r="N41" i="12" s="1"/>
  <c r="F791" i="11"/>
  <c r="F792" i="11" s="1"/>
  <c r="F793" i="11" s="1"/>
  <c r="H44" i="12" l="1"/>
  <c r="P41" i="12"/>
  <c r="H42" i="12"/>
  <c r="J42" i="12" s="1"/>
  <c r="N42" i="12" s="1"/>
  <c r="P42" i="12" s="1"/>
  <c r="H43" i="12"/>
  <c r="J43" i="12" s="1"/>
  <c r="F68" i="12"/>
  <c r="C791" i="11"/>
  <c r="I791" i="11"/>
  <c r="L42" i="12" s="1"/>
  <c r="J44" i="12" l="1"/>
  <c r="F69" i="12"/>
  <c r="F70" i="12" s="1"/>
  <c r="C792" i="11"/>
  <c r="F794" i="11" s="1"/>
  <c r="F795" i="11" s="1"/>
  <c r="F796" i="11" s="1"/>
  <c r="I792" i="11"/>
  <c r="L43" i="12" s="1"/>
  <c r="N43" i="12" s="1"/>
  <c r="N44" i="12" l="1"/>
  <c r="P43" i="12"/>
  <c r="F71" i="12"/>
  <c r="C793" i="11"/>
  <c r="I793" i="11"/>
  <c r="L44" i="12" s="1"/>
  <c r="H46" i="12" l="1"/>
  <c r="J46" i="12" s="1"/>
  <c r="P44" i="12"/>
  <c r="H45" i="12"/>
  <c r="J45" i="12" s="1"/>
  <c r="H47" i="12"/>
  <c r="F72" i="12"/>
  <c r="C794" i="11"/>
  <c r="I794" i="11"/>
  <c r="L45" i="12" s="1"/>
  <c r="J47" i="12" l="1"/>
  <c r="N45" i="12"/>
  <c r="F73" i="12"/>
  <c r="C795" i="11"/>
  <c r="I795" i="11"/>
  <c r="L46" i="12" s="1"/>
  <c r="N46" i="12" s="1"/>
  <c r="P46" i="12" l="1"/>
  <c r="P45" i="12"/>
  <c r="F74" i="12"/>
  <c r="C796" i="11"/>
  <c r="I796" i="11"/>
  <c r="L47" i="12" s="1"/>
  <c r="N47" i="12" s="1"/>
  <c r="P47" i="12" s="1"/>
  <c r="F797" i="11"/>
  <c r="F798" i="11" s="1"/>
  <c r="F799" i="11" s="1"/>
  <c r="H49" i="12" l="1"/>
  <c r="J49" i="12" s="1"/>
  <c r="H48" i="12"/>
  <c r="J48" i="12" s="1"/>
  <c r="H50" i="12"/>
  <c r="F75" i="12"/>
  <c r="C797" i="11"/>
  <c r="I797" i="11"/>
  <c r="L48" i="12" s="1"/>
  <c r="N48" i="12" l="1"/>
  <c r="P48" i="12"/>
  <c r="J50" i="12"/>
  <c r="F76" i="12"/>
  <c r="C798" i="11"/>
  <c r="I798" i="11"/>
  <c r="L49" i="12" s="1"/>
  <c r="N49" i="12" s="1"/>
  <c r="F800" i="11"/>
  <c r="F801" i="11" s="1"/>
  <c r="F802" i="11" s="1"/>
  <c r="P49" i="12" l="1"/>
  <c r="F77" i="12"/>
  <c r="C799" i="11"/>
  <c r="I799" i="11"/>
  <c r="L50" i="12" s="1"/>
  <c r="N50" i="12" s="1"/>
  <c r="P50" i="12" l="1"/>
  <c r="H52" i="12"/>
  <c r="J52" i="12" s="1"/>
  <c r="H53" i="12"/>
  <c r="H51" i="12"/>
  <c r="J51" i="12" s="1"/>
  <c r="F78" i="12"/>
  <c r="F79" i="12" s="1"/>
  <c r="C800" i="11"/>
  <c r="I800" i="11"/>
  <c r="L51" i="12" s="1"/>
  <c r="J53" i="12" l="1"/>
  <c r="N51" i="12"/>
  <c r="F80" i="12"/>
  <c r="F81" i="12" s="1"/>
  <c r="F82" i="12" s="1"/>
  <c r="F83" i="12" s="1"/>
  <c r="F84" i="12" s="1"/>
  <c r="F85" i="12" s="1"/>
  <c r="F86" i="12" s="1"/>
  <c r="C801" i="11"/>
  <c r="I801" i="11"/>
  <c r="L52" i="12" s="1"/>
  <c r="N52" i="12" s="1"/>
  <c r="F87" i="12" l="1"/>
  <c r="P52" i="12"/>
  <c r="P51" i="12"/>
  <c r="C802" i="11"/>
  <c r="I802" i="11"/>
  <c r="L53" i="12" s="1"/>
  <c r="N53" i="12" s="1"/>
  <c r="P53" i="12" s="1"/>
  <c r="F803" i="11"/>
  <c r="F804" i="11" s="1"/>
  <c r="F805" i="11" s="1"/>
  <c r="F88" i="12" l="1"/>
  <c r="H54" i="12"/>
  <c r="J54" i="12" s="1"/>
  <c r="H56" i="12"/>
  <c r="H55" i="12"/>
  <c r="J55" i="12" s="1"/>
  <c r="C803" i="11"/>
  <c r="I803" i="11"/>
  <c r="L54" i="12" s="1"/>
  <c r="F89" i="12" l="1"/>
  <c r="J56" i="12"/>
  <c r="N54" i="12"/>
  <c r="C804" i="11"/>
  <c r="F806" i="11" s="1"/>
  <c r="F807" i="11" s="1"/>
  <c r="F808" i="11" s="1"/>
  <c r="I804" i="11"/>
  <c r="L55" i="12" s="1"/>
  <c r="N55" i="12" s="1"/>
  <c r="I811" i="11"/>
  <c r="L62" i="12" s="1"/>
  <c r="I813" i="11"/>
  <c r="L64" i="12" s="1"/>
  <c r="F90" i="12" l="1"/>
  <c r="F91" i="12" s="1"/>
  <c r="F92" i="12" s="1"/>
  <c r="P55" i="12"/>
  <c r="I815" i="11"/>
  <c r="L66" i="12" s="1"/>
  <c r="I810" i="11"/>
  <c r="L61" i="12" s="1"/>
  <c r="I814" i="11"/>
  <c r="L65" i="12" s="1"/>
  <c r="P54" i="12"/>
  <c r="I816" i="11"/>
  <c r="L67" i="12" s="1"/>
  <c r="I805" i="11"/>
  <c r="L56" i="12" s="1"/>
  <c r="N56" i="12" s="1"/>
  <c r="P56" i="12" s="1"/>
  <c r="I807" i="11"/>
  <c r="L58" i="12" s="1"/>
  <c r="I806" i="11"/>
  <c r="L57" i="12" s="1"/>
  <c r="I809" i="11"/>
  <c r="L60" i="12" s="1"/>
  <c r="I808" i="11"/>
  <c r="L59" i="12" s="1"/>
  <c r="I812" i="11"/>
  <c r="L63" i="12" s="1"/>
  <c r="F93" i="12" l="1"/>
  <c r="H58" i="12"/>
  <c r="J58" i="12" s="1"/>
  <c r="N58" i="12" s="1"/>
  <c r="H59" i="12"/>
  <c r="H57" i="12"/>
  <c r="J57" i="12" s="1"/>
  <c r="N57" i="12" s="1"/>
  <c r="F94" i="12" l="1"/>
  <c r="P58" i="12"/>
  <c r="P57" i="12"/>
  <c r="J59" i="12"/>
  <c r="N59" i="12" s="1"/>
  <c r="H62" i="12" s="1"/>
  <c r="F95" i="12" l="1"/>
  <c r="H60" i="12"/>
  <c r="J60" i="12" s="1"/>
  <c r="N60" i="12" s="1"/>
  <c r="P60" i="12" s="1"/>
  <c r="J62" i="12"/>
  <c r="N62" i="12" s="1"/>
  <c r="P59" i="12"/>
  <c r="H61" i="12"/>
  <c r="J61" i="12" s="1"/>
  <c r="N61" i="12" s="1"/>
  <c r="F96" i="12" l="1"/>
  <c r="F97" i="12" s="1"/>
  <c r="F98" i="12" s="1"/>
  <c r="H64" i="12"/>
  <c r="J64" i="12" s="1"/>
  <c r="N64" i="12" s="1"/>
  <c r="H63" i="12"/>
  <c r="J63" i="12" s="1"/>
  <c r="N63" i="12" s="1"/>
  <c r="P61" i="12"/>
  <c r="H65" i="12"/>
  <c r="P62" i="12"/>
  <c r="P63" i="12" l="1"/>
  <c r="P64" i="12"/>
  <c r="J65" i="12"/>
  <c r="N65" i="12" s="1"/>
  <c r="H68" i="12" s="1"/>
  <c r="H66" i="12" l="1"/>
  <c r="J66" i="12" s="1"/>
  <c r="N66" i="12" s="1"/>
  <c r="H67" i="12"/>
  <c r="J67" i="12" s="1"/>
  <c r="N67" i="12" s="1"/>
  <c r="J68" i="12"/>
  <c r="N68" i="12" s="1"/>
  <c r="P65" i="12"/>
  <c r="P67" i="12" l="1"/>
  <c r="P68" i="12"/>
  <c r="P66" i="12"/>
  <c r="J9" i="12"/>
  <c r="H71" i="12"/>
  <c r="J71" i="12" s="1"/>
  <c r="N71" i="12" s="1"/>
  <c r="H69" i="12"/>
  <c r="J69" i="12" s="1"/>
  <c r="N69" i="12" s="1"/>
  <c r="P69" i="12" s="1"/>
  <c r="H70" i="12"/>
  <c r="J70" i="12" s="1"/>
  <c r="N70" i="12" s="1"/>
  <c r="P70" i="12" l="1"/>
  <c r="L9" i="12"/>
  <c r="D11" i="10"/>
  <c r="E11" i="10" s="1"/>
  <c r="H72" i="12"/>
  <c r="J72" i="12" s="1"/>
  <c r="N72" i="12" s="1"/>
  <c r="P72" i="12" s="1"/>
  <c r="H73" i="12"/>
  <c r="J73" i="12" s="1"/>
  <c r="N73" i="12" s="1"/>
  <c r="P73" i="12" s="1"/>
  <c r="P71" i="12"/>
  <c r="H74" i="12"/>
  <c r="J74" i="12" l="1"/>
  <c r="N74" i="12" s="1"/>
  <c r="H77" i="12" l="1"/>
  <c r="J77" i="12" s="1"/>
  <c r="N77" i="12" s="1"/>
  <c r="H75" i="12"/>
  <c r="J75" i="12" s="1"/>
  <c r="N75" i="12" s="1"/>
  <c r="P75" i="12" s="1"/>
  <c r="H76" i="12"/>
  <c r="J76" i="12" s="1"/>
  <c r="N76" i="12" s="1"/>
  <c r="P74" i="12"/>
  <c r="P76" i="12" l="1"/>
  <c r="H78" i="12"/>
  <c r="J78" i="12" s="1"/>
  <c r="N78" i="12" s="1"/>
  <c r="H79" i="12"/>
  <c r="J79" i="12" s="1"/>
  <c r="N79" i="12" s="1"/>
  <c r="H80" i="12"/>
  <c r="P77" i="12"/>
  <c r="P79" i="12" l="1"/>
  <c r="P78" i="12"/>
  <c r="J10" i="12"/>
  <c r="D12" i="10" s="1"/>
  <c r="E12" i="10" s="1"/>
  <c r="J80" i="12"/>
  <c r="N80" i="12" s="1"/>
  <c r="H81" i="12" s="1"/>
  <c r="H83" i="12" l="1"/>
  <c r="J83" i="12" s="1"/>
  <c r="N83" i="12" s="1"/>
  <c r="H82" i="12"/>
  <c r="J82" i="12" s="1"/>
  <c r="N82" i="12" s="1"/>
  <c r="J81" i="12"/>
  <c r="N81" i="12" s="1"/>
  <c r="P80" i="12"/>
  <c r="H86" i="12" l="1"/>
  <c r="L10" i="12"/>
  <c r="P82" i="12"/>
  <c r="P81" i="12"/>
  <c r="H85" i="12"/>
  <c r="H84" i="12"/>
  <c r="P83" i="12"/>
  <c r="J84" i="12" l="1"/>
  <c r="N84" i="12" s="1"/>
  <c r="H87" i="12" s="1"/>
  <c r="J87" i="12" s="1"/>
  <c r="N87" i="12" s="1"/>
  <c r="J85" i="12"/>
  <c r="N85" i="12" s="1"/>
  <c r="J86" i="12"/>
  <c r="N86" i="12" s="1"/>
  <c r="P86" i="12" l="1"/>
  <c r="P84" i="12"/>
  <c r="P85" i="12"/>
  <c r="H88" i="12"/>
  <c r="J88" i="12" s="1"/>
  <c r="N88" i="12" s="1"/>
  <c r="P88" i="12" s="1"/>
  <c r="H90" i="12"/>
  <c r="P87" i="12"/>
  <c r="H89" i="12"/>
  <c r="H91" i="12" l="1"/>
  <c r="J89" i="12"/>
  <c r="N89" i="12" s="1"/>
  <c r="J90" i="12"/>
  <c r="N90" i="12" s="1"/>
  <c r="H93" i="12" l="1"/>
  <c r="J93" i="12" s="1"/>
  <c r="N93" i="12" s="1"/>
  <c r="P90" i="12"/>
  <c r="P89" i="12"/>
  <c r="H92" i="12"/>
  <c r="J91" i="12"/>
  <c r="N91" i="12" s="1"/>
  <c r="P91" i="12" s="1"/>
  <c r="H94" i="12" l="1"/>
  <c r="J94" i="12" s="1"/>
  <c r="N94" i="12" s="1"/>
  <c r="J92" i="12"/>
  <c r="N92" i="12" s="1"/>
  <c r="P92" i="12" s="1"/>
  <c r="P93" i="12" l="1"/>
  <c r="H96" i="12"/>
  <c r="J96" i="12" s="1"/>
  <c r="N96" i="12" s="1"/>
  <c r="P94" i="12"/>
  <c r="H97" i="12"/>
  <c r="J97" i="12" s="1"/>
  <c r="N97" i="12" s="1"/>
  <c r="H95" i="12"/>
  <c r="J95" i="12" l="1"/>
  <c r="N95" i="12" s="1"/>
  <c r="P97" i="12" s="1"/>
  <c r="P95" i="12" l="1"/>
  <c r="P96" i="12"/>
  <c r="H98" i="12"/>
  <c r="J98" i="12" s="1"/>
  <c r="N98" i="12" s="1"/>
  <c r="J6" i="12" l="1"/>
  <c r="D8" i="10" s="1"/>
  <c r="E8" i="10" s="1"/>
  <c r="J7" i="12"/>
  <c r="D9" i="10" s="1"/>
  <c r="E9" i="10" s="1"/>
  <c r="J8" i="12"/>
  <c r="D10" i="10" s="1"/>
  <c r="E10" i="10" s="1"/>
  <c r="J11" i="12"/>
  <c r="J12" i="12"/>
  <c r="P98" i="12"/>
  <c r="L12" i="12" l="1"/>
  <c r="D14" i="10"/>
  <c r="E14" i="10" s="1"/>
  <c r="L11" i="12"/>
  <c r="D13" i="10"/>
  <c r="E13" i="10" s="1"/>
  <c r="E15" i="10" s="1"/>
  <c r="D25" i="19" s="1"/>
  <c r="L8" i="12"/>
  <c r="L7" i="12"/>
  <c r="L6" i="12"/>
  <c r="J14" i="12"/>
  <c r="D23" i="19" l="1"/>
  <c r="D7" i="19"/>
  <c r="D11" i="19"/>
  <c r="D19" i="19"/>
  <c r="D12" i="19"/>
  <c r="D21" i="19"/>
  <c r="D24" i="19" s="1"/>
  <c r="D17" i="19"/>
  <c r="D14" i="19"/>
  <c r="D15" i="19"/>
  <c r="D9" i="19"/>
  <c r="D13" i="19"/>
  <c r="D22" i="19"/>
  <c r="D18" i="19"/>
  <c r="D8" i="19"/>
  <c r="D10" i="19"/>
  <c r="D16" i="19"/>
  <c r="L14" i="12"/>
  <c r="D20" i="19" l="1"/>
</calcChain>
</file>

<file path=xl/comments1.xml><?xml version="1.0" encoding="utf-8"?>
<comments xmlns="http://schemas.openxmlformats.org/spreadsheetml/2006/main">
  <authors>
    <author>R.Pennybaker</author>
  </authors>
  <commentList>
    <comment ref="F1" authorId="0" shapeId="0">
      <text>
        <r>
          <rPr>
            <b/>
            <sz val="8"/>
            <color indexed="81"/>
            <rFont val="Tahoma"/>
            <family val="2"/>
          </rPr>
          <t>R.Pennybaker:</t>
        </r>
        <r>
          <rPr>
            <sz val="8"/>
            <color indexed="81"/>
            <rFont val="Tahoma"/>
            <family val="2"/>
          </rPr>
          <t xml:space="preserve">
This is the column used in the interest engine.</t>
        </r>
      </text>
    </comment>
  </commentList>
</comments>
</file>

<file path=xl/sharedStrings.xml><?xml version="1.0" encoding="utf-8"?>
<sst xmlns="http://schemas.openxmlformats.org/spreadsheetml/2006/main" count="3435" uniqueCount="577">
  <si>
    <t>Year</t>
  </si>
  <si>
    <t>Month</t>
  </si>
  <si>
    <t>Monthly Prime Rate, Annualized</t>
  </si>
  <si>
    <t>Quarter</t>
  </si>
  <si>
    <t>Qtrly Prime Rate, Annualized</t>
  </si>
  <si>
    <t>Rate Year Ending</t>
  </si>
  <si>
    <t>Annual Average Prime Rate of Preceding 12 Months</t>
  </si>
  <si>
    <t>This is where you paste new data from the fedreserve site…formulas split the data into appropriate columns</t>
  </si>
  <si>
    <t xml:space="preserve">  Different Calculation</t>
  </si>
  <si>
    <t>01/2001, 9.05</t>
  </si>
  <si>
    <t>02/2001, 8.50</t>
  </si>
  <si>
    <t>03/2001, 8.32</t>
  </si>
  <si>
    <t>04/2001, 7.80</t>
  </si>
  <si>
    <t>05/2001, 7.24</t>
  </si>
  <si>
    <t>06/2001, 6.98</t>
  </si>
  <si>
    <t>07/2001, 6.75</t>
  </si>
  <si>
    <t>08/2001, 6.67</t>
  </si>
  <si>
    <t>09/2001, 6.28</t>
  </si>
  <si>
    <t>10/2001, 5.53</t>
  </si>
  <si>
    <t>11/2001, 5.10</t>
  </si>
  <si>
    <t>12/2001, 4.84</t>
  </si>
  <si>
    <t>01/2002, 4.75</t>
  </si>
  <si>
    <t>02/2002, 4.75</t>
  </si>
  <si>
    <t>03/2002, 4.75</t>
  </si>
  <si>
    <t>04/2002, 4.75</t>
  </si>
  <si>
    <t>05/2002, 4.75</t>
  </si>
  <si>
    <t>06/2002, 4.75</t>
  </si>
  <si>
    <t>07/2002, 4.75</t>
  </si>
  <si>
    <t>08/2002, 4.75</t>
  </si>
  <si>
    <t>09/2002, 4.75</t>
  </si>
  <si>
    <t>10/2002, 4.75</t>
  </si>
  <si>
    <t>11/2002, 4.35</t>
  </si>
  <si>
    <t>12/2002, 4.25</t>
  </si>
  <si>
    <t>01/2003, 4.25</t>
  </si>
  <si>
    <t>02/2003, 4.25</t>
  </si>
  <si>
    <t>03/2003, 4.25</t>
  </si>
  <si>
    <t>04/2003, 4.25</t>
  </si>
  <si>
    <t>05/2003, 4.25</t>
  </si>
  <si>
    <t>06/2003, 4.22</t>
  </si>
  <si>
    <t>07/2003, 4.00</t>
  </si>
  <si>
    <t>08/2003, 4.00</t>
  </si>
  <si>
    <t>09/2003, 4.00</t>
  </si>
  <si>
    <t>10/2003, 4.00</t>
  </si>
  <si>
    <t>11/2003, 4.00</t>
  </si>
  <si>
    <t>12/2003, 4.00</t>
  </si>
  <si>
    <t>01/2004, 4.00</t>
  </si>
  <si>
    <t>02/2004, 4.00</t>
  </si>
  <si>
    <t>03/2004, 4.00</t>
  </si>
  <si>
    <t>04/2004, 4.00</t>
  </si>
  <si>
    <t>05/2004, 4.00</t>
  </si>
  <si>
    <t>06/2004, 4.01</t>
  </si>
  <si>
    <t>07/2004, 4.25</t>
  </si>
  <si>
    <t>08/2004, 4.43</t>
  </si>
  <si>
    <t>09/2004, 4.58</t>
  </si>
  <si>
    <t>10/2004, 4.75</t>
  </si>
  <si>
    <t>11/2004, 4.93</t>
  </si>
  <si>
    <t>12/2004, 5.15</t>
  </si>
  <si>
    <t>01/2005, 5.25</t>
  </si>
  <si>
    <t>02/2005, 5.49</t>
  </si>
  <si>
    <t>03/2005, 5.58</t>
  </si>
  <si>
    <t>04/2005, 5.75</t>
  </si>
  <si>
    <t>05/2005, 5.98</t>
  </si>
  <si>
    <t>06/2005, 6.01</t>
  </si>
  <si>
    <t>07/2005, 6.25</t>
  </si>
  <si>
    <t>08/2005, 6.44</t>
  </si>
  <si>
    <t>09/2005, 6.59</t>
  </si>
  <si>
    <t>10/2005, 6.75</t>
  </si>
  <si>
    <t>11/2005, 7.00</t>
  </si>
  <si>
    <t>12/2005, 7.15</t>
  </si>
  <si>
    <t>01/2006, 7.26</t>
  </si>
  <si>
    <t>02/2006, 7.50</t>
  </si>
  <si>
    <t>03/2006, 7.53</t>
  </si>
  <si>
    <t>04/2006, 7.75</t>
  </si>
  <si>
    <t>05/2006, 7.93</t>
  </si>
  <si>
    <t>06/2006, 8.02</t>
  </si>
  <si>
    <t>07/2006, 8.25</t>
  </si>
  <si>
    <t>08/2006, 8.25</t>
  </si>
  <si>
    <t>09/2006, 8.25</t>
  </si>
  <si>
    <t>10/2006, 8.25</t>
  </si>
  <si>
    <t>11/2006, 8.25</t>
  </si>
  <si>
    <t>12/2006, 8.25</t>
  </si>
  <si>
    <t>01/2007, 8.25</t>
  </si>
  <si>
    <t>02/2007, 8.25</t>
  </si>
  <si>
    <t>03/2007, 8.25</t>
  </si>
  <si>
    <t>04/2007, 8.25</t>
  </si>
  <si>
    <t>05/2007, 8.25</t>
  </si>
  <si>
    <t>06/2007, 8.25</t>
  </si>
  <si>
    <t>07/2007, 8.25</t>
  </si>
  <si>
    <t>08/2007, 8.25</t>
  </si>
  <si>
    <t>09/2007, 8.03</t>
  </si>
  <si>
    <t>10/2007, 7.74</t>
  </si>
  <si>
    <t>11/2007, 7.50</t>
  </si>
  <si>
    <t>12/2007, 7.33</t>
  </si>
  <si>
    <t>01/2008, 6.98</t>
  </si>
  <si>
    <t>02/2008, 6.00</t>
  </si>
  <si>
    <t>03/2008, 5.66</t>
  </si>
  <si>
    <t>04/2008, 5.24</t>
  </si>
  <si>
    <t>05/2008, 5.00</t>
  </si>
  <si>
    <t>06/2008, 5.00</t>
  </si>
  <si>
    <t>07/2008, 5.00</t>
  </si>
  <si>
    <t>08/2008, 5.00</t>
  </si>
  <si>
    <t>09/2008, 5.00</t>
  </si>
  <si>
    <t>10/2008, 4.56</t>
  </si>
  <si>
    <t>11/2008, 4.00</t>
  </si>
  <si>
    <t>12/2008, 3.61</t>
  </si>
  <si>
    <t>01/2009, 3.25</t>
  </si>
  <si>
    <t>02/2009, 3.25</t>
  </si>
  <si>
    <t>03/2009, 3.25</t>
  </si>
  <si>
    <t>04/2009, 3.25</t>
  </si>
  <si>
    <t>05/2009, 3.25</t>
  </si>
  <si>
    <t>06/2009, 3.25</t>
  </si>
  <si>
    <t>07/2009, 3.25</t>
  </si>
  <si>
    <t>08/2009, 3.25</t>
  </si>
  <si>
    <t>09/2009, 3.25</t>
  </si>
  <si>
    <t>10/2009, 3.25</t>
  </si>
  <si>
    <t>Get Monthly rates here (G.13 release) no longer used)</t>
  </si>
  <si>
    <t>11/2009, 3.25</t>
  </si>
  <si>
    <t>http://www.federalreserve.gov/Releases/g13/g13note.htm</t>
  </si>
  <si>
    <t>12/2009, 3.25</t>
  </si>
  <si>
    <t>01/2010, 3.25</t>
  </si>
  <si>
    <t>Get monthly rates here (H.15 release)</t>
  </si>
  <si>
    <t>02/2010, 3.25</t>
  </si>
  <si>
    <t>http://www.federalreserve.gov/releases/h15/data/Monthly/H15_PRIME_NA.txt</t>
  </si>
  <si>
    <t>03/2010, 3.25</t>
  </si>
  <si>
    <t>04/2010, 3.25</t>
  </si>
  <si>
    <t>(5/13/11) Get monthly rates here (H.15 release)</t>
  </si>
  <si>
    <t>05/2010, 3.25</t>
  </si>
  <si>
    <t>http://www.federalreserve.gov/datadownload/Build.aspx?rel=H15</t>
  </si>
  <si>
    <t>06/2010, 3.25</t>
  </si>
  <si>
    <t>http://www.federalreserve.gov/datadownload/Output.aspx?rel=H15&amp;series=6fa2b8138e0eafe0ad6cde24ba2307f5&amp;lastObs=&amp;from=&amp;to=&amp;filetype=csv&amp;label=include&amp;layout=seriescolumn</t>
  </si>
  <si>
    <t>07/2010, 3.25</t>
  </si>
  <si>
    <t>08/2010, 3.25</t>
  </si>
  <si>
    <t>09/2010, 3.25</t>
  </si>
  <si>
    <t>10/2010, 3.25</t>
  </si>
  <si>
    <t>11/2010, 3.25</t>
  </si>
  <si>
    <t>Get calculation methodology here</t>
  </si>
  <si>
    <t>12/2010, 3.25</t>
  </si>
  <si>
    <t>http://edocket.access.gpo.gov/cfr_2002/aprqtr/18cfr35.19a.htm</t>
  </si>
  <si>
    <t>01/2011, 3.25</t>
  </si>
  <si>
    <t>02/2011, 3.25</t>
  </si>
  <si>
    <t>03/2011, 3.25</t>
  </si>
  <si>
    <t>04/2011, 3.25</t>
  </si>
  <si>
    <t>05/2011, 3.25</t>
  </si>
  <si>
    <t>06/2011, 3.25</t>
  </si>
  <si>
    <t>07/2011, 3.25</t>
  </si>
  <si>
    <t>08/2011, 3.25</t>
  </si>
  <si>
    <t>09/2011, 3.25</t>
  </si>
  <si>
    <t>10/2011, 3.25</t>
  </si>
  <si>
    <t>11/2011, 3.25</t>
  </si>
  <si>
    <t>12/2011, 3.25</t>
  </si>
  <si>
    <t>01/2012, 3.25</t>
  </si>
  <si>
    <t>02/2012, 3.25</t>
  </si>
  <si>
    <t>03/2012, 3.25</t>
  </si>
  <si>
    <t>04/2012, 3.25</t>
  </si>
  <si>
    <t>05/2012, 3.25</t>
  </si>
  <si>
    <t>06/2012, 3.25</t>
  </si>
  <si>
    <t>07/2012, 3.25</t>
  </si>
  <si>
    <t>08/2012, 3.25</t>
  </si>
  <si>
    <t>09/2012, 3.25</t>
  </si>
  <si>
    <t>10/2012, 3.25</t>
  </si>
  <si>
    <t>11/2012, 3.25</t>
  </si>
  <si>
    <t>12/2012, 3.25</t>
  </si>
  <si>
    <t>01/2013, 3.25</t>
  </si>
  <si>
    <t>02/2013, 3.25</t>
  </si>
  <si>
    <t>03/2013, 3.25</t>
  </si>
  <si>
    <t>01/2013, 3.26</t>
  </si>
  <si>
    <t>02/2013, 3.26</t>
  </si>
  <si>
    <t>03/2013, 3.26</t>
  </si>
  <si>
    <t>01/2013, 3.27</t>
  </si>
  <si>
    <t>02/2013, 3.27</t>
  </si>
  <si>
    <t>03/2013, 3.27</t>
  </si>
  <si>
    <t>01/2013, 3.28</t>
  </si>
  <si>
    <t>02/2013, 3.28</t>
  </si>
  <si>
    <t>03/2013, 3.28</t>
  </si>
  <si>
    <t>01/2014, 3.29</t>
  </si>
  <si>
    <t>02/2014, 3.29</t>
  </si>
  <si>
    <t>03/2014, 3.29</t>
  </si>
  <si>
    <t>04/2014, 3.30</t>
  </si>
  <si>
    <t>05/2014, 3.31</t>
  </si>
  <si>
    <t>06/2014, 3.31</t>
  </si>
  <si>
    <t>07/2014, 3.31</t>
  </si>
  <si>
    <t>08/2014, 3.32</t>
  </si>
  <si>
    <t>09/2014, 3.32</t>
  </si>
  <si>
    <t>10/2014, 3.32</t>
  </si>
  <si>
    <t>11/2014, 3.32</t>
  </si>
  <si>
    <t>12/2014, 3.33</t>
  </si>
  <si>
    <t>(5/13/14) Get monthly rates here (H.15 release)</t>
  </si>
  <si>
    <t>01/2015, 3.33</t>
  </si>
  <si>
    <t>02/2015, 3.33</t>
  </si>
  <si>
    <t>03/2015, 3.33</t>
  </si>
  <si>
    <t>04/2015, 3.34</t>
  </si>
  <si>
    <t>05/2015, 3.34</t>
  </si>
  <si>
    <t>06/2015, 3.34</t>
  </si>
  <si>
    <t>07/2015, 3.35</t>
  </si>
  <si>
    <t>08/2015, 3.35</t>
  </si>
  <si>
    <t>09/2015, 3.35</t>
  </si>
  <si>
    <t>10/2015, 3.35</t>
  </si>
  <si>
    <t>11/2015, 3.35</t>
  </si>
  <si>
    <t>12/2015, 3.25</t>
  </si>
  <si>
    <t>1/2016, 3.25</t>
  </si>
  <si>
    <t>2/2016, 3.25</t>
  </si>
  <si>
    <t>3/2016, 3.25</t>
  </si>
  <si>
    <t>4/2016, 3.46</t>
  </si>
  <si>
    <t>5/2016, 3.46</t>
  </si>
  <si>
    <t>6/2016, 3.46</t>
  </si>
  <si>
    <t>7/2016, 3.50</t>
  </si>
  <si>
    <t>8/2016, 3.50</t>
  </si>
  <si>
    <t>9/2016, 3.50</t>
  </si>
  <si>
    <t>10/2016, 3.50</t>
  </si>
  <si>
    <t>11/2016, 3.50</t>
  </si>
  <si>
    <t>12/2016, 3.50</t>
  </si>
  <si>
    <t>01/2017, 3.50</t>
  </si>
  <si>
    <t>2/2017, 3.50</t>
  </si>
  <si>
    <t>3/2017, 3.50</t>
  </si>
  <si>
    <t>4/2017, 3.71</t>
  </si>
  <si>
    <t>5/2017, 3.71</t>
  </si>
  <si>
    <t>6/2017, 3.71</t>
  </si>
  <si>
    <t>7/2017, 3.96</t>
  </si>
  <si>
    <t>8/2017, 3.96</t>
  </si>
  <si>
    <t>9/2017, 3.96</t>
  </si>
  <si>
    <t>10/2017, 4.21</t>
  </si>
  <si>
    <t>11/2017, 4.21</t>
  </si>
  <si>
    <t>12/2017, 4.21</t>
  </si>
  <si>
    <t>01/2018, 4.25</t>
  </si>
  <si>
    <t>2/2018, 4.25</t>
  </si>
  <si>
    <t>3/2018, 4.25</t>
  </si>
  <si>
    <t>4/2018, 4.47</t>
  </si>
  <si>
    <t>5/2018, 4.47</t>
  </si>
  <si>
    <t>6/2018, 4.47</t>
  </si>
  <si>
    <t>--</t>
  </si>
  <si>
    <t>Refunds/
(Surcharges)</t>
  </si>
  <si>
    <t>Cumulative Refunds/(Surcharges) - Beginning of Month (Without Interest)</t>
  </si>
  <si>
    <t>Base for Quarterly Compound Interest</t>
  </si>
  <si>
    <t>Base for Monthly Interest</t>
  </si>
  <si>
    <t>Monthly Interest Rate</t>
  </si>
  <si>
    <t>Calculated Interest</t>
  </si>
  <si>
    <t>Cumulative Refunds and Interest - End of Month</t>
  </si>
  <si>
    <t>Calculation of Interest</t>
  </si>
  <si>
    <t>Adjustment By year</t>
  </si>
  <si>
    <t>True-Up Month</t>
  </si>
  <si>
    <t>Totals</t>
  </si>
  <si>
    <t>Compounded Interest By Year (Thru June 30, 2018)</t>
  </si>
  <si>
    <t>Interest Calculation - OKT Radial Adjustment</t>
  </si>
  <si>
    <t>Total With Interest (Thru June 30, 2018)</t>
  </si>
  <si>
    <t>With Quarterly Interest Compounding Through June 30, 2018</t>
  </si>
  <si>
    <t>With interest through 06/30/2019</t>
  </si>
  <si>
    <t>2013 - 2017 Radial Line Refund</t>
  </si>
  <si>
    <t>ATRR Adjustment</t>
  </si>
  <si>
    <t>Interest</t>
  </si>
  <si>
    <t>Total Refund</t>
  </si>
  <si>
    <t>2018*</t>
  </si>
  <si>
    <t>06-2019*</t>
  </si>
  <si>
    <t>OKLAHOMA TRANSCO RADIAL IMPACT</t>
  </si>
  <si>
    <t>7/2018, 4.69</t>
  </si>
  <si>
    <t>8/2018, 4.69</t>
  </si>
  <si>
    <t>9/2018, 4.69</t>
  </si>
  <si>
    <t>10/2018, 4.96</t>
  </si>
  <si>
    <t>11/2018, 4.96</t>
  </si>
  <si>
    <t>12/2018, 4.96</t>
  </si>
  <si>
    <t>1/2019, 5.18</t>
  </si>
  <si>
    <t>2/2019, 5.18</t>
  </si>
  <si>
    <t>3/2019, 5.18</t>
  </si>
  <si>
    <t>W/S</t>
  </si>
  <si>
    <t>TP1</t>
  </si>
  <si>
    <t>TP</t>
  </si>
  <si>
    <t>NP(TU)</t>
  </si>
  <si>
    <t>NA</t>
  </si>
  <si>
    <t xml:space="preserve">GTD </t>
  </si>
  <si>
    <t>GP(TU)</t>
  </si>
  <si>
    <t>DA</t>
  </si>
  <si>
    <t>PSO_TU_Allocators</t>
  </si>
  <si>
    <t>U</t>
  </si>
  <si>
    <t>T</t>
  </si>
  <si>
    <t xml:space="preserve">Includes functional wages &amp; salaries incurred by parent company service corporation for support of the operating company. </t>
  </si>
  <si>
    <t>S</t>
  </si>
  <si>
    <t>Removes transmission plant (e.g. step-up transformers) included in the development of OATT ancillary service rates and not already removed for reasons indicated in Note Q.</t>
  </si>
  <si>
    <t>R</t>
  </si>
  <si>
    <t>Removes plant excluded from the OATT because it does not meet the SPP's definition of Transmission Facilities or is otherwise ineligible to be recovered under the OATT.</t>
  </si>
  <si>
    <t>Q</t>
  </si>
  <si>
    <t>"Gross Margin" for the Company.  The tax rate of one percent is assessed on the resulting amount.  The jurisdictional allocator is based on transmission demand allocators.</t>
  </si>
  <si>
    <t xml:space="preserve">Effective January 1, 2007, Texas instituted a gross margin tax.  This tax is calculated on the Texas allocated revenue of the Company, reduced by 30% to derive a </t>
  </si>
  <si>
    <t>P</t>
  </si>
  <si>
    <t xml:space="preserve">  (percent of federal income tax deductible for state purposes)</t>
  </si>
  <si>
    <t>p =</t>
  </si>
  <si>
    <t>(State Income Tax Rate or Composite SIT.  Worksheet K)</t>
  </si>
  <si>
    <t>SIT=</t>
  </si>
  <si>
    <t>FIT =</t>
  </si>
  <si>
    <t xml:space="preserve">         Inputs Required:</t>
  </si>
  <si>
    <t xml:space="preserve"> </t>
  </si>
  <si>
    <t>rate base, must reduce its income tax expense by the amount of the Amortized Investment Tax Credit (Form 1, 266.8.f)</t>
  </si>
  <si>
    <t xml:space="preserve">elected to utilize amortization of tax credits against taxable income, rather than book tax credits to Account No. 255 and reduce </t>
  </si>
  <si>
    <t>work paper showing the name of each state and how the blended or composite SIT was developed.  Furthermore, a utility that</t>
  </si>
  <si>
    <t>"the percentage of federal income tax deductible for state income taxes".  If the utility is taxed in more than one state it must attach a</t>
  </si>
  <si>
    <t>The currently effective income tax rate,  where FIT is the Federal income tax rate; SIT is the State income tax rate, and p =</t>
  </si>
  <si>
    <t>O</t>
  </si>
  <si>
    <t>Includes only FICA, unemployment,  property and other assessments charged in the current year.  Gross Receipts tax, Sales &amp; Use taxes, and taxes related to income are excluded.</t>
  </si>
  <si>
    <t>N</t>
  </si>
  <si>
    <t>The Post-employment Benefit Other than Pension (PBOP) expense is fixed based on an approved ratio of PBOP expense to direct labor expense.</t>
  </si>
  <si>
    <t>M</t>
  </si>
  <si>
    <t>expenses incurred by the transmission function for Associated Business Development revenues given as a credit to the TCOS on Worksheet E.</t>
  </si>
  <si>
    <t xml:space="preserve">shall not be allocated to transmission.  Only safety-related and educational advertising costs in Account 930.1 are included in the TCOS. Account 930.2 includes the </t>
  </si>
  <si>
    <t xml:space="preserve">these expense items. Acct 928 Includes Regulatory Commission expenses itemized in FERC Form-1 at page 351, column H.  FERC Assessment Fees and Annual Charges </t>
  </si>
  <si>
    <t>Expense reported for these A&amp;G accounts will be included in the cost of service only to the extent they are directly assignable to transmission service. Worksheet D allocates</t>
  </si>
  <si>
    <t>L</t>
  </si>
  <si>
    <t>General Plant and Administrative &amp; General expenses may be functionalized based on allocators other then the W/S allocator.  Full documentation must be provided.</t>
  </si>
  <si>
    <t>K</t>
  </si>
  <si>
    <t xml:space="preserve">Removes cost of transmission service provided by others to the extent such service is not incurred to provide the SPP service at issue.  </t>
  </si>
  <si>
    <t>J</t>
  </si>
  <si>
    <t>Removes the expense booked to transmission accounts included in the development of OATT ancillary services rates, including all of Account No. 561.</t>
  </si>
  <si>
    <t>I</t>
  </si>
  <si>
    <t>made contributions toward the construction of System upgrades, and includes accrued interest and unreturned balance of contributions.  The annual interest</t>
  </si>
  <si>
    <t>H</t>
  </si>
  <si>
    <t>G</t>
  </si>
  <si>
    <t>Identified as being transmission related or functionally booked to transmission.</t>
  </si>
  <si>
    <t>F</t>
  </si>
  <si>
    <t>Worksheet C.</t>
  </si>
  <si>
    <t>this is pre-1971 ITC balances, which are required to be taken as an offset to rate base. Account 281 is not allocated.  Transmission allocations are shown on</t>
  </si>
  <si>
    <t>prior flow throughs and is completely excluded if the utility chose to utilize amortization of tax credits against FIT expense as discussed in Note N.  An exception to</t>
  </si>
  <si>
    <t>The total-company balances shown for Accounts 281, 282, 283, 190 only reflect ADIT that relates to utility operations. The balance of Account 255 is reduced by</t>
  </si>
  <si>
    <t>E</t>
  </si>
  <si>
    <t>The gross plant, accumulated depreciation, and deferred tax balances included in rate base are reduced by the removal of balances related to Asset Retirement Obligations  (AROs). This is to comply with the requirements of FERC Rulemaking RM02-7-000.</t>
  </si>
  <si>
    <t>D</t>
  </si>
  <si>
    <t>projects receiving incentives as accepted by FERC.  These individual additional revenue requirements are summed for the true-up year, and included here.</t>
  </si>
  <si>
    <t>This additional revenue requirement is determined using a net plant carrying charge (fixed carrying charge or FCR) approach.  Worksheet G shows the calculation</t>
  </si>
  <si>
    <t>C</t>
  </si>
  <si>
    <t>The annual and monthly net plant carrying charges on page 1 are used to compute the revenue requirement for facilities and any upgrades.</t>
  </si>
  <si>
    <t>B</t>
  </si>
  <si>
    <t>included as revenue credits.   See Worksheet A for details.</t>
  </si>
  <si>
    <t>revenue credits.  Revenue from Transmission Customers whose coincident peak loads are included in the DIVISOR of the load-ratio share calculation are not</t>
  </si>
  <si>
    <t>in the rate divisor. Revenues associated with FERC annual charges, gross receipts taxes, ancillary services or facilities excluded from the TCOS are not included as</t>
  </si>
  <si>
    <t>the cost of which has been included in the TCOS, and c) amounts from customers taking service under grandfathered agreements, where the demand is not included</t>
  </si>
  <si>
    <t>The revenue credits shall include a) amounts received directly from the SPP for PTP transmission services, b) direct assignment charges for transmission facilities,</t>
  </si>
  <si>
    <t>A</t>
  </si>
  <si>
    <t xml:space="preserve">                                   work papers rather than using the allocations above.</t>
  </si>
  <si>
    <t xml:space="preserve">                              b)  If transmission owner ("TO") functionalizes its costs to transmission on its books, those costs are shown above and on any supporting </t>
  </si>
  <si>
    <t>General Notes:  a)  References to data from FERC Form 1 are indicated as:  page#.line#.col.#</t>
  </si>
  <si>
    <t>Notes</t>
  </si>
  <si>
    <t>Letter</t>
  </si>
  <si>
    <r>
      <t xml:space="preserve">Capital Structure Equity Limit </t>
    </r>
    <r>
      <rPr>
        <sz val="12"/>
        <color indexed="10"/>
        <rFont val="Arial"/>
        <family val="2"/>
      </rPr>
      <t>(</t>
    </r>
    <r>
      <rPr>
        <i/>
        <sz val="12"/>
        <color indexed="10"/>
        <rFont val="Arial"/>
        <family val="2"/>
      </rPr>
      <t>PSO Note U</t>
    </r>
    <r>
      <rPr>
        <sz val="12"/>
        <color indexed="10"/>
        <rFont val="Arial"/>
        <family val="2"/>
      </rPr>
      <t>)</t>
    </r>
  </si>
  <si>
    <t>WACC=</t>
  </si>
  <si>
    <t>Avg Preferred Stock (PSO WS-N, ln. 46, col. (E))</t>
  </si>
  <si>
    <t>Avg Long Term Debt (PSO WS-N, ln. 10, col. (E))</t>
  </si>
  <si>
    <t>Weighted</t>
  </si>
  <si>
    <t>(Note S)</t>
  </si>
  <si>
    <t>Cap Limit</t>
  </si>
  <si>
    <t xml:space="preserve">Actual </t>
  </si>
  <si>
    <t>Cost</t>
  </si>
  <si>
    <t>Capital Structure Percentages</t>
  </si>
  <si>
    <t>Common Stock</t>
  </si>
  <si>
    <t>(PSO Worksheet N, ln. 4, col. (E))</t>
  </si>
  <si>
    <t>Less Account 219</t>
  </si>
  <si>
    <t>(PSO Worksheet N, ln. 3, col. (E))</t>
  </si>
  <si>
    <t>Less Account 216.1</t>
  </si>
  <si>
    <t>(PSO Worksheet N, ln. 2, col. (E))</t>
  </si>
  <si>
    <t>(PSO Worksheet N, ln. 1, col. (E))</t>
  </si>
  <si>
    <t xml:space="preserve">Proprietary Capital </t>
  </si>
  <si>
    <t>Average</t>
  </si>
  <si>
    <t>Development of Common Stock:</t>
  </si>
  <si>
    <t>Preferred Stock Dividends (PSO FR Worksheet N, ln. 47, col. (E))</t>
  </si>
  <si>
    <t xml:space="preserve">Preferred Dividends </t>
  </si>
  <si>
    <t>Long Term Interest (PSO FR Worksheet N, ln. 19, col. (E))</t>
  </si>
  <si>
    <t>Long Term Interest</t>
  </si>
  <si>
    <t>$</t>
  </si>
  <si>
    <t>WEIGHTED AVERAGE COST OF CAPITAL (WACC)</t>
  </si>
  <si>
    <t>NOTE:  All WACC related entries below sourced from PSO's FF1 or Template</t>
  </si>
  <si>
    <t>PUBLIC SERVICE COMPANY OF OKLAHOMA (Note T)</t>
  </si>
  <si>
    <t>Capital Structure Equity Limit (Note U)</t>
  </si>
  <si>
    <t>Preferred Stock Dividends (Worksheet N, ln. 47, col. (E))</t>
  </si>
  <si>
    <t>Long Term Interest (Worksheet N, ln. 18, col. (E))</t>
  </si>
  <si>
    <t>STAND ALONE (Note T)</t>
  </si>
  <si>
    <t>W/S=</t>
  </si>
  <si>
    <t>Transmission related amount</t>
  </si>
  <si>
    <t>Total</t>
  </si>
  <si>
    <t xml:space="preserve">  Other (Excludes A&amp;G) </t>
  </si>
  <si>
    <t xml:space="preserve"> Line Deliberately Left Blank</t>
  </si>
  <si>
    <t>354.22.b</t>
  </si>
  <si>
    <t xml:space="preserve">  Regional Market Expenses</t>
  </si>
  <si>
    <t>354.21.b</t>
  </si>
  <si>
    <t xml:space="preserve">  Transmission</t>
  </si>
  <si>
    <t>Payroll Billed from AEP Service Corp.</t>
  </si>
  <si>
    <t>Direct Payroll</t>
  </si>
  <si>
    <t>WAGES &amp; SALARY ALLOCATOR (W/S)</t>
  </si>
  <si>
    <t>TP=</t>
  </si>
  <si>
    <t>Percent of transmission plant in SPP Tariff</t>
  </si>
  <si>
    <t>Transmission plant included in SPP Tariff</t>
  </si>
  <si>
    <t xml:space="preserve">  Less transmission plant excluded from SPP Tariff  (Note Q)</t>
  </si>
  <si>
    <t xml:space="preserve">Total transmission plant   </t>
  </si>
  <si>
    <t>TRANSMISSION PLANT INCLUDED IN SPP TARIFF</t>
  </si>
  <si>
    <t>No.</t>
  </si>
  <si>
    <t>ln</t>
  </si>
  <si>
    <t>SUPPORTING CALCULATIONS</t>
  </si>
  <si>
    <t>REVENUE REQUIREMENT INCLUDING GROSS MARGIN TAX</t>
  </si>
  <si>
    <t>TEXAS GROSS MARGIN TAX (Note P) (Worksheet K)</t>
  </si>
  <si>
    <t>REVENUE REQUIREMENT BEFORE TEXAS GROSS MARGIN TAX</t>
  </si>
  <si>
    <t>INTEREST ON IPP CONTRIBUTION FOR CONST. (Note E) (Worksheet E, ln 2)</t>
  </si>
  <si>
    <t>RETURN ON RATE BASE (Rate Base*WACC)</t>
  </si>
  <si>
    <t>TOTAL INCOME TAXES</t>
  </si>
  <si>
    <t xml:space="preserve">     ITC adjustment</t>
  </si>
  <si>
    <t xml:space="preserve">Income Tax Calculation </t>
  </si>
  <si>
    <t>(FF1 p.114, ln 19.c)</t>
  </si>
  <si>
    <t>Amortized Investment Tax Credit (enter negative)</t>
  </si>
  <si>
    <t xml:space="preserve">       and FIT, SIT &amp; p are as given in Note O.</t>
  </si>
  <si>
    <t xml:space="preserve">    EIT=(T/(1-T)) * (1-(WCLTD/WACC)) =</t>
  </si>
  <si>
    <t xml:space="preserve">     T=1 - {[(1 - SIT) * (1 - FIT)] / (1 - SIT * FIT * p)} =</t>
  </si>
  <si>
    <t xml:space="preserve"> (Note O)</t>
  </si>
  <si>
    <t>INCOME TAXES</t>
  </si>
  <si>
    <t>TOTAL OTHER TAXES</t>
  </si>
  <si>
    <t>Worksheet L, Col. E</t>
  </si>
  <si>
    <t xml:space="preserve">         Other</t>
  </si>
  <si>
    <t>Worksheet L, Col. F</t>
  </si>
  <si>
    <t xml:space="preserve">         Gross Receipts/Sales &amp; Use</t>
  </si>
  <si>
    <t>Worksheet L, Col. C</t>
  </si>
  <si>
    <t xml:space="preserve">         Property</t>
  </si>
  <si>
    <t xml:space="preserve">  Plant Related</t>
  </si>
  <si>
    <t>Worksheet L, Col. D</t>
  </si>
  <si>
    <t xml:space="preserve">          Payroll</t>
  </si>
  <si>
    <t xml:space="preserve">  Labor Related</t>
  </si>
  <si>
    <t>(Note N)</t>
  </si>
  <si>
    <t>TAXES OTHER THAN INCOME</t>
  </si>
  <si>
    <t>TOTAL DEPRECIATION AND AMORTIZATI0N</t>
  </si>
  <si>
    <t>336.1.f</t>
  </si>
  <si>
    <t xml:space="preserve">  Intangible</t>
  </si>
  <si>
    <t xml:space="preserve">     Plus: Formation Costs Amortization</t>
  </si>
  <si>
    <t>83a</t>
  </si>
  <si>
    <t>336.10.f</t>
  </si>
  <si>
    <t xml:space="preserve">  General </t>
  </si>
  <si>
    <t>336.7.f</t>
  </si>
  <si>
    <t>DEPRECIATION AND AMORTIZATION EXPENSE</t>
  </si>
  <si>
    <t>TOTAL O &amp; M EXPENSE</t>
  </si>
  <si>
    <t xml:space="preserve">     A &amp; G Subtotal</t>
  </si>
  <si>
    <t xml:space="preserve">          PBOP Adjustment</t>
  </si>
  <si>
    <t>78a</t>
  </si>
  <si>
    <t xml:space="preserve">           Acct 930.2 - Misc Gen. Exp. - Trans</t>
  </si>
  <si>
    <t>(Note J) 321.96.b</t>
  </si>
  <si>
    <t xml:space="preserve">           Acct 930.1 - Only safety related ads -Direct</t>
  </si>
  <si>
    <t>(Note I) 321.84-92.b</t>
  </si>
  <si>
    <t xml:space="preserve">           Acct. 928 - Transmission Specific</t>
  </si>
  <si>
    <t xml:space="preserve">     Plus: Acct. 924, Property Insurance</t>
  </si>
  <si>
    <t xml:space="preserve">     Balance of A &amp; G</t>
  </si>
  <si>
    <t>323.192.b</t>
  </si>
  <si>
    <t xml:space="preserve">               Acct. 930.2, Misc. Gen. Exp.</t>
  </si>
  <si>
    <t>323.191.b</t>
  </si>
  <si>
    <t xml:space="preserve">               Acct. 930.1, Gen. Advert. Exp.</t>
  </si>
  <si>
    <t>323.189.b</t>
  </si>
  <si>
    <t xml:space="preserve">               Acct. 928, Reg. Com. Exp.</t>
  </si>
  <si>
    <t>323.185.b</t>
  </si>
  <si>
    <t xml:space="preserve">  Less:    Acct. 924, Property Insurance</t>
  </si>
  <si>
    <t>323.197.b (Note K)</t>
  </si>
  <si>
    <t xml:space="preserve">  Administrative and General</t>
  </si>
  <si>
    <t>Total O&amp;M Allocable to Transmission</t>
  </si>
  <si>
    <t xml:space="preserve">     Less: Account 565</t>
  </si>
  <si>
    <t xml:space="preserve">     Less: Total Account 561</t>
  </si>
  <si>
    <t>321.112.b</t>
  </si>
  <si>
    <t xml:space="preserve">  Transmission </t>
  </si>
  <si>
    <t>OPERATION &amp; MAINTENANCE EXPENSE</t>
  </si>
  <si>
    <t>Transmission</t>
  </si>
  <si>
    <t>REQUIREMENTS  CALCULATION</t>
  </si>
  <si>
    <t>EXPENSE, TAXES, RETURN &amp; REVENUE</t>
  </si>
  <si>
    <t>(5)</t>
  </si>
  <si>
    <t>(4)</t>
  </si>
  <si>
    <t>(3)</t>
  </si>
  <si>
    <t>(2)</t>
  </si>
  <si>
    <t>(1)</t>
  </si>
  <si>
    <t xml:space="preserve">IPP CONTRIBUTIONS FOR CONSTRUCTION  </t>
  </si>
  <si>
    <t>TOTAL WORKING CAPITAL</t>
  </si>
  <si>
    <t>(Worksheet D, ln 7.D)</t>
  </si>
  <si>
    <t xml:space="preserve">  Prepayments (Account 165) - Unallocable</t>
  </si>
  <si>
    <t>(Worksheet D, ln 7.E)</t>
  </si>
  <si>
    <t xml:space="preserve">  Prepayments (Account 165) - Transmission Only</t>
  </si>
  <si>
    <t>(Worksheet D, ln 7.F)</t>
  </si>
  <si>
    <t xml:space="preserve">  Prepayments (Account 165) - Gross Plant</t>
  </si>
  <si>
    <t>(Worksheet D, ln 7.G)</t>
  </si>
  <si>
    <t xml:space="preserve">  Prepayments (Account 165) - Labor Allocated</t>
  </si>
  <si>
    <t xml:space="preserve">  Stores Expense </t>
  </si>
  <si>
    <t xml:space="preserve">  A&amp;G Materials &amp; Supplies </t>
  </si>
  <si>
    <t xml:space="preserve"> Transmission Materials &amp; Supplies</t>
  </si>
  <si>
    <t>Cash Working Capital</t>
  </si>
  <si>
    <t>(Note F)</t>
  </si>
  <si>
    <t>WORKING CAPITAL</t>
  </si>
  <si>
    <t>REGULATORY ASSETS</t>
  </si>
  <si>
    <t>51a</t>
  </si>
  <si>
    <t>(Worksheet A ln 29.E &amp; ln 30.E)</t>
  </si>
  <si>
    <t>PLANT HELD FOR FUTURE USE</t>
  </si>
  <si>
    <t>TOTAL ADJUSTMENTS</t>
  </si>
  <si>
    <t>(Worksheet C, ln 34.C &amp; Ln 36.J)</t>
  </si>
  <si>
    <t xml:space="preserve">  Account No. 255 (enter negative)</t>
  </si>
  <si>
    <t>(Worksheet C, ln 25.C &amp; Ln 27.J)</t>
  </si>
  <si>
    <t xml:space="preserve">  Account No. 190.1</t>
  </si>
  <si>
    <t>(Worksheet C, ln 16.C &amp; Ln 18.J)</t>
  </si>
  <si>
    <t xml:space="preserve">  Account No. 283.1 (enter negative)</t>
  </si>
  <si>
    <t>(Worksheet C, ln 7.C &amp; ln 9.J)</t>
  </si>
  <si>
    <t xml:space="preserve">  Account No. 282.1 (enter negative)</t>
  </si>
  <si>
    <t>272-273.8.k</t>
  </si>
  <si>
    <t xml:space="preserve">  Account No. 281.1 (enter negative)</t>
  </si>
  <si>
    <t>(Note E)</t>
  </si>
  <si>
    <t>DEFERRED TAX ADJUSTMENTS TO RATE BASE</t>
  </si>
  <si>
    <t>NP(TU)=</t>
  </si>
  <si>
    <t>TOTAL NET PLANT IN SERVICE</t>
  </si>
  <si>
    <t>NET PLANT IN SERVICE</t>
  </si>
  <si>
    <t>TOTAL ACCUMULATED DEPRECIATION</t>
  </si>
  <si>
    <t>(Worksheet A ln 20.E)</t>
  </si>
  <si>
    <t>(Worksheet A ln 19.E)</t>
  </si>
  <si>
    <t xml:space="preserve">  Less: General Plant ARO (Enter Negative) </t>
  </si>
  <si>
    <t>(Worksheet A ln 18.E)</t>
  </si>
  <si>
    <t>TP1=</t>
  </si>
  <si>
    <t>(Worksheet A ln 15.E)</t>
  </si>
  <si>
    <t xml:space="preserve">  Less: Transmission ARO (Enter Negative) </t>
  </si>
  <si>
    <t>(Worksheet A ln 14.E &amp; 28.E)</t>
  </si>
  <si>
    <t>ACCUMULATED DEPRECIATION AND AMORTIZATION</t>
  </si>
  <si>
    <t>GTD=</t>
  </si>
  <si>
    <t>GP(TU)=</t>
  </si>
  <si>
    <t>TOTAL GROSS PLANT</t>
  </si>
  <si>
    <t>(Worksheet A ln 9.E)</t>
  </si>
  <si>
    <t xml:space="preserve">  Intangible Plant</t>
  </si>
  <si>
    <t>(Worksheet A ln 8.E)</t>
  </si>
  <si>
    <t>(Worksheet A ln 7.E)</t>
  </si>
  <si>
    <t xml:space="preserve">  General Plant   </t>
  </si>
  <si>
    <t>(Worksheet A ln 4.E)</t>
  </si>
  <si>
    <t>GROSS PLANT IN SERVICE</t>
  </si>
  <si>
    <t>NOTE D</t>
  </si>
  <si>
    <t>Allocator</t>
  </si>
  <si>
    <t>TO Total</t>
  </si>
  <si>
    <t>(See "General Notes")</t>
  </si>
  <si>
    <t>RATE BASE CALCULATION</t>
  </si>
  <si>
    <t>Data Sources</t>
  </si>
  <si>
    <t>ADDITIONAL REVENUE REQUIREMENT for projects w/ incentive ROE's (Note C) (Worksheet G)</t>
  </si>
  <si>
    <t xml:space="preserve">  Annual Rate</t>
  </si>
  <si>
    <t xml:space="preserve">  Monthly Rate</t>
  </si>
  <si>
    <t>NET PLANT CARRYING CHARGE  (w/o incentives) (Note B)</t>
  </si>
  <si>
    <t>Trued-Up Revenue Requirement for SPP BPU Regional Facilities (w/o incentives)  (Worksheet G)</t>
  </si>
  <si>
    <t>REVENUE REQUIREMENT For All Company Facilities</t>
  </si>
  <si>
    <t>Total Revenue Credits</t>
  </si>
  <si>
    <t>(Worksheet H)</t>
  </si>
  <si>
    <t xml:space="preserve"> Assoc. Business Development</t>
  </si>
  <si>
    <t xml:space="preserve"> Transmission Credits</t>
  </si>
  <si>
    <t>(Note A)</t>
  </si>
  <si>
    <t xml:space="preserve">REVENUE CREDITS </t>
  </si>
  <si>
    <t>REVENUE REQUIREMENT (w/o incentives)</t>
  </si>
  <si>
    <t>Amount</t>
  </si>
  <si>
    <t>Difference</t>
  </si>
  <si>
    <t>Orignially Filed</t>
  </si>
  <si>
    <t>Line</t>
  </si>
  <si>
    <t>Transmission Cost of Service Formula Rate</t>
  </si>
  <si>
    <t xml:space="preserve">AEP West SPP Member Companies </t>
  </si>
  <si>
    <t>*Any related radial ATRR adjustment for 2018 and 2019 will be through the annual true-up process</t>
  </si>
  <si>
    <t>Adjusted to 10.5%</t>
  </si>
  <si>
    <t>Billed</t>
  </si>
  <si>
    <t>Start</t>
  </si>
  <si>
    <t>End</t>
  </si>
  <si>
    <t>Days</t>
  </si>
  <si>
    <t>(A)</t>
  </si>
  <si>
    <t>(B)</t>
  </si>
  <si>
    <t>(C)</t>
  </si>
  <si>
    <t xml:space="preserve">  Customer</t>
  </si>
  <si>
    <t>AECC</t>
  </si>
  <si>
    <t>AECI</t>
  </si>
  <si>
    <t>Bentonville, AR</t>
  </si>
  <si>
    <t>Coffeyville, KS</t>
  </si>
  <si>
    <t>ETEC</t>
  </si>
  <si>
    <t>Greenbelt</t>
  </si>
  <si>
    <t>Hope, AR</t>
  </si>
  <si>
    <t>Lighthouse</t>
  </si>
  <si>
    <t>Minden, LA</t>
  </si>
  <si>
    <t>OG&amp;E</t>
  </si>
  <si>
    <t>OMPA</t>
  </si>
  <si>
    <t>Prescott, AR</t>
  </si>
  <si>
    <t>WFEC</t>
  </si>
  <si>
    <t xml:space="preserve">    Non-Affiliate
    Subtotals</t>
  </si>
  <si>
    <t>PSO</t>
  </si>
  <si>
    <t>SWEPCO</t>
  </si>
  <si>
    <t>SWEPCO-Valley</t>
  </si>
  <si>
    <t xml:space="preserve">    Affiliate
    Subtotals</t>
  </si>
  <si>
    <t>TOTALS</t>
  </si>
  <si>
    <t>AEP Transco</t>
  </si>
  <si>
    <t>Network Customer Refund</t>
  </si>
  <si>
    <t>Load Share</t>
  </si>
  <si>
    <t>Refund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</si>
</sst>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mm"/>
    <numFmt numFmtId="166" formatCode="yyyy"/>
    <numFmt numFmtId="167" formatCode="&quot;$&quot;#,##0.00"/>
    <numFmt numFmtId="168" formatCode="&quot;$&quot;#,##0"/>
    <numFmt numFmtId="169" formatCode="0.0000%"/>
    <numFmt numFmtId="170" formatCode="0.000%"/>
    <numFmt numFmtId="171" formatCode="&quot;$&quot;#,##0\ ;\(&quot;$&quot;#,##0\)"/>
    <numFmt numFmtId="172" formatCode="_(* #,##0.0,_);_(* \(#,##0.0,\);_(* &quot;-   &quot;_);_(@_)"/>
    <numFmt numFmtId="173" formatCode="0.00000"/>
    <numFmt numFmtId="174" formatCode="_(* #,##0.00000_);_(* \(#,##0.00000\);_(* &quot;-&quot;??_);_(@_)"/>
    <numFmt numFmtId="175" formatCode="0.0%"/>
    <numFmt numFmtId="176" formatCode="0.0000"/>
    <numFmt numFmtId="177" formatCode="#,##0.00000"/>
    <numFmt numFmtId="178" formatCode="_(* #,##0.00000_);_(* \(#,##0.00000\);_(* &quot;-&quot;_);_(@_)"/>
    <numFmt numFmtId="179" formatCode="_(* #,##0.0000_);_(* \(#,##0.0000\);_(* &quot;-&quot;_);_(@_)"/>
    <numFmt numFmtId="180" formatCode="_(* #,##0.000_);_(* \(#,##0.000\);_(* &quot;-&quot;_);_(@_)"/>
    <numFmt numFmtId="181" formatCode="#,##0.000"/>
    <numFmt numFmtId="182" formatCode="#,##0.0000"/>
    <numFmt numFmtId="183" formatCode="_(* #,##0.0000_);_(* \(#,##0.0000\);_(* &quot;-&quot;??_);_(@_)"/>
    <numFmt numFmtId="184" formatCode="#,##0.000000"/>
    <numFmt numFmtId="185" formatCode="#,##0.0000000"/>
    <numFmt numFmtId="186" formatCode="_(* #,##0.0000000_);_(* \(#,##0.0000000\);_(* &quot;-&quot;_);_(@_)"/>
    <numFmt numFmtId="187" formatCode="&quot;$&quot;#,##0.000"/>
    <numFmt numFmtId="188" formatCode="_(&quot;$&quot;* #,##0_);_(&quot;$&quot;* \(#,##0\);_(&quot;$&quot;* &quot;-&quot;??_);_(@_)"/>
  </numFmts>
  <fonts count="111">
    <font>
      <sz val="11"/>
      <color theme="1"/>
      <name val="Calibri"/>
      <family val="2"/>
      <scheme val="minor"/>
    </font>
    <font>
      <b/>
      <sz val="11"/>
      <color theme="1"/>
      <name val="Calibri"/>
      <family val="2"/>
      <scheme val="minor"/>
    </font>
    <font>
      <sz val="11"/>
      <color theme="1"/>
      <name val="Calibri"/>
      <family val="2"/>
      <scheme val="minor"/>
    </font>
    <font>
      <sz val="11"/>
      <color theme="0"/>
      <name val="Calibri"/>
      <family val="2"/>
      <scheme val="minor"/>
    </font>
    <font>
      <b/>
      <sz val="16"/>
      <color theme="1"/>
      <name val="Calibri"/>
      <family val="2"/>
      <scheme val="minor"/>
    </font>
    <font>
      <sz val="10"/>
      <name val="Arial"/>
      <family val="2"/>
    </font>
    <font>
      <b/>
      <sz val="10"/>
      <name val="Arial"/>
      <family val="2"/>
    </font>
    <font>
      <sz val="10"/>
      <name val="Arial"/>
      <family val="2"/>
    </font>
    <font>
      <sz val="10"/>
      <color indexed="12"/>
      <name val="Arial"/>
      <family val="2"/>
    </font>
    <font>
      <b/>
      <sz val="8"/>
      <name val="Arial"/>
      <family val="2"/>
    </font>
    <font>
      <b/>
      <sz val="10"/>
      <color indexed="12"/>
      <name val="Arial"/>
      <family val="2"/>
    </font>
    <font>
      <sz val="10"/>
      <color indexed="12"/>
      <name val="Arial Unicode MS"/>
      <family val="2"/>
    </font>
    <font>
      <sz val="10"/>
      <name val="Arial Unicode MS"/>
      <family val="2"/>
    </font>
    <font>
      <b/>
      <sz val="8"/>
      <color indexed="81"/>
      <name val="Tahoma"/>
      <family val="2"/>
    </font>
    <font>
      <sz val="8"/>
      <color indexed="81"/>
      <name val="Tahoma"/>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indexed="8"/>
      <name val="Calibri"/>
      <family val="2"/>
    </font>
    <font>
      <sz val="11"/>
      <color indexed="8"/>
      <name val="Arial Narrow"/>
      <family val="2"/>
    </font>
    <font>
      <sz val="11"/>
      <color indexed="9"/>
      <name val="Calibri"/>
      <family val="2"/>
    </font>
    <font>
      <sz val="11"/>
      <color indexed="9"/>
      <name val="Arial Narrow"/>
      <family val="2"/>
    </font>
    <font>
      <sz val="11"/>
      <color indexed="20"/>
      <name val="Calibri"/>
      <family val="2"/>
    </font>
    <font>
      <sz val="11"/>
      <color indexed="20"/>
      <name val="Arial Narrow"/>
      <family val="2"/>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Calibri"/>
      <family val="2"/>
    </font>
    <font>
      <b/>
      <sz val="11"/>
      <color indexed="52"/>
      <name val="Arial Narrow"/>
      <family val="2"/>
    </font>
    <font>
      <b/>
      <sz val="11"/>
      <color indexed="9"/>
      <name val="Calibri"/>
      <family val="2"/>
    </font>
    <font>
      <b/>
      <sz val="11"/>
      <color indexed="9"/>
      <name val="Arial Narrow"/>
      <family val="2"/>
    </font>
    <font>
      <sz val="10"/>
      <name val="MS Sans Serif"/>
      <family val="2"/>
    </font>
    <font>
      <sz val="10"/>
      <color indexed="22"/>
      <name val="Arial"/>
      <family val="2"/>
    </font>
    <font>
      <i/>
      <sz val="11"/>
      <color indexed="23"/>
      <name val="Calibri"/>
      <family val="2"/>
    </font>
    <font>
      <i/>
      <sz val="11"/>
      <color indexed="23"/>
      <name val="Arial Narrow"/>
      <family val="2"/>
    </font>
    <font>
      <sz val="11"/>
      <color indexed="17"/>
      <name val="Calibri"/>
      <family val="2"/>
    </font>
    <font>
      <sz val="11"/>
      <color indexed="17"/>
      <name val="Arial Narrow"/>
      <family val="2"/>
    </font>
    <font>
      <b/>
      <sz val="18"/>
      <color indexed="22"/>
      <name val="Arial"/>
      <family val="2"/>
    </font>
    <font>
      <b/>
      <sz val="18"/>
      <name val="Arial"/>
      <family val="2"/>
    </font>
    <font>
      <b/>
      <sz val="12"/>
      <color indexed="22"/>
      <name val="Arial"/>
      <family val="2"/>
    </font>
    <font>
      <b/>
      <sz val="11"/>
      <color indexed="56"/>
      <name val="Calibri"/>
      <family val="2"/>
    </font>
    <font>
      <b/>
      <sz val="11"/>
      <color indexed="56"/>
      <name val="Arial Narrow"/>
      <family val="2"/>
    </font>
    <font>
      <b/>
      <sz val="14"/>
      <name val="Book Antiqua"/>
      <family val="1"/>
    </font>
    <font>
      <i/>
      <sz val="10"/>
      <name val="Book Antiqua"/>
      <family val="1"/>
    </font>
    <font>
      <sz val="11"/>
      <color indexed="62"/>
      <name val="Calibri"/>
      <family val="2"/>
    </font>
    <font>
      <sz val="11"/>
      <color indexed="62"/>
      <name val="Arial Narrow"/>
      <family val="2"/>
    </font>
    <font>
      <sz val="11"/>
      <color indexed="52"/>
      <name val="Calibri"/>
      <family val="2"/>
    </font>
    <font>
      <sz val="11"/>
      <color indexed="52"/>
      <name val="Arial Narrow"/>
      <family val="2"/>
    </font>
    <font>
      <sz val="11"/>
      <color indexed="60"/>
      <name val="Calibri"/>
      <family val="2"/>
    </font>
    <font>
      <sz val="11"/>
      <color indexed="60"/>
      <name val="Arial Narrow"/>
      <family val="2"/>
    </font>
    <font>
      <sz val="11"/>
      <color theme="1"/>
      <name val="Calibri"/>
      <family val="2"/>
    </font>
    <font>
      <sz val="10"/>
      <color indexed="8"/>
      <name val="Calibri"/>
      <family val="2"/>
    </font>
    <font>
      <sz val="12"/>
      <name val="Arial MT"/>
    </font>
    <font>
      <b/>
      <sz val="11"/>
      <color indexed="63"/>
      <name val="Calibri"/>
      <family val="2"/>
    </font>
    <font>
      <b/>
      <sz val="11"/>
      <color indexed="63"/>
      <name val="Arial Narrow"/>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Calibri"/>
      <family val="2"/>
    </font>
    <font>
      <sz val="11"/>
      <color indexed="10"/>
      <name val="Arial Narrow"/>
      <family val="2"/>
    </font>
    <font>
      <sz val="11"/>
      <name val="Calibri"/>
      <family val="2"/>
      <scheme val="minor"/>
    </font>
    <font>
      <sz val="12"/>
      <name val="Arial Narrow"/>
      <family val="2"/>
    </font>
    <font>
      <b/>
      <sz val="12"/>
      <name val="Arial Narrow"/>
      <family val="2"/>
    </font>
    <font>
      <b/>
      <u/>
      <sz val="12"/>
      <name val="Arial Narrow"/>
      <family val="2"/>
    </font>
    <font>
      <b/>
      <i/>
      <sz val="12"/>
      <name val="Arial Narrow"/>
      <family val="2"/>
    </font>
    <font>
      <sz val="9"/>
      <color indexed="8"/>
      <name val="Times New Roman"/>
      <family val="1"/>
    </font>
    <font>
      <b/>
      <sz val="12"/>
      <color theme="1"/>
      <name val="Calibri"/>
      <family val="2"/>
      <scheme val="minor"/>
    </font>
    <font>
      <sz val="12"/>
      <color theme="1"/>
      <name val="Calibri"/>
      <family val="2"/>
      <scheme val="minor"/>
    </font>
    <font>
      <sz val="10"/>
      <name val="Arial"/>
    </font>
    <font>
      <b/>
      <u/>
      <sz val="12"/>
      <name val="Arial"/>
      <family val="2"/>
    </font>
    <font>
      <sz val="12"/>
      <color indexed="12"/>
      <name val="Arial"/>
      <family val="2"/>
    </font>
    <font>
      <sz val="12"/>
      <color indexed="10"/>
      <name val="Arial"/>
      <family val="2"/>
    </font>
    <font>
      <i/>
      <sz val="12"/>
      <color indexed="10"/>
      <name val="Arial"/>
      <family val="2"/>
    </font>
    <font>
      <u/>
      <sz val="12"/>
      <name val="Arial"/>
      <family val="2"/>
    </font>
    <font>
      <b/>
      <i/>
      <sz val="12"/>
      <color indexed="10"/>
      <name val="Arial"/>
      <family val="2"/>
    </font>
    <font>
      <sz val="12"/>
      <color indexed="18"/>
      <name val="Arial"/>
      <family val="2"/>
    </font>
    <font>
      <u/>
      <sz val="10"/>
      <name val="Arial"/>
      <family val="2"/>
    </font>
    <font>
      <strike/>
      <sz val="12"/>
      <name val="Arial"/>
      <family val="2"/>
    </font>
    <font>
      <strike/>
      <sz val="12"/>
      <color indexed="10"/>
      <name val="Arial"/>
      <family val="2"/>
    </font>
    <font>
      <b/>
      <sz val="12"/>
      <name val="Arial MT"/>
    </font>
    <font>
      <b/>
      <sz val="12"/>
      <color indexed="12"/>
      <name val="Arial"/>
      <family val="2"/>
    </font>
    <font>
      <sz val="12"/>
      <color theme="0"/>
      <name val="Arial"/>
      <family val="2"/>
    </font>
  </fonts>
  <fills count="63">
    <fill>
      <patternFill patternType="none"/>
    </fill>
    <fill>
      <patternFill patternType="gray125"/>
    </fill>
    <fill>
      <patternFill patternType="solid">
        <fgColor theme="1"/>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theme="7" tint="0.79998168889431442"/>
        <bgColor indexed="64"/>
      </patternFill>
    </fill>
    <fill>
      <patternFill patternType="solid">
        <fgColor rgb="FFCCFFCC"/>
        <bgColor indexed="64"/>
      </patternFill>
    </fill>
    <fill>
      <patternFill patternType="solid">
        <fgColor rgb="FFFFFF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top style="medium">
        <color indexed="64"/>
      </top>
      <bottom/>
      <diagonal/>
    </border>
    <border>
      <left/>
      <right/>
      <top style="thin">
        <color indexed="64"/>
      </top>
      <bottom style="double">
        <color indexed="64"/>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1132">
    <xf numFmtId="0" fontId="0" fillId="0" borderId="0"/>
    <xf numFmtId="43" fontId="2" fillId="0" borderId="0" applyFont="0" applyFill="0" applyBorder="0" applyAlignment="0" applyProtection="0"/>
    <xf numFmtId="0" fontId="5"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 fillId="14" borderId="0" applyNumberFormat="0" applyBorder="0" applyAlignment="0" applyProtection="0"/>
    <xf numFmtId="0" fontId="30" fillId="3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 fillId="18" borderId="0" applyNumberFormat="0" applyBorder="0" applyAlignment="0" applyProtection="0"/>
    <xf numFmtId="0"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 fillId="22" borderId="0" applyNumberFormat="0" applyBorder="0" applyAlignment="0" applyProtection="0"/>
    <xf numFmtId="0"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 fillId="26" borderId="0" applyNumberFormat="0" applyBorder="0" applyAlignment="0" applyProtection="0"/>
    <xf numFmtId="0"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 fillId="30" borderId="0" applyNumberFormat="0" applyBorder="0" applyAlignment="0" applyProtection="0"/>
    <xf numFmtId="0"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 fillId="34" borderId="0" applyNumberFormat="0" applyBorder="0" applyAlignment="0" applyProtection="0"/>
    <xf numFmtId="0"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 fillId="15" borderId="0" applyNumberFormat="0" applyBorder="0" applyAlignment="0" applyProtection="0"/>
    <xf numFmtId="0"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 fillId="19" borderId="0" applyNumberFormat="0" applyBorder="0" applyAlignment="0" applyProtection="0"/>
    <xf numFmtId="0"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 fillId="23" borderId="0" applyNumberFormat="0" applyBorder="0" applyAlignment="0" applyProtection="0"/>
    <xf numFmtId="0" fontId="30" fillId="45" borderId="0" applyNumberFormat="0" applyBorder="0" applyAlignment="0" applyProtection="0"/>
    <xf numFmtId="0" fontId="29" fillId="45"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 fillId="27" borderId="0" applyNumberFormat="0" applyBorder="0" applyAlignment="0" applyProtection="0"/>
    <xf numFmtId="0" fontId="30" fillId="40"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 fillId="31" borderId="0" applyNumberFormat="0" applyBorder="0" applyAlignment="0" applyProtection="0"/>
    <xf numFmtId="0" fontId="30" fillId="43" borderId="0" applyNumberFormat="0" applyBorder="0" applyAlignment="0" applyProtection="0"/>
    <xf numFmtId="0" fontId="29" fillId="43"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 fillId="35" borderId="0" applyNumberFormat="0" applyBorder="0" applyAlignment="0" applyProtection="0"/>
    <xf numFmtId="0" fontId="30" fillId="46" borderId="0" applyNumberFormat="0" applyBorder="0" applyAlignment="0" applyProtection="0"/>
    <xf numFmtId="0" fontId="29" fillId="46"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 fillId="16" borderId="0" applyNumberFormat="0" applyBorder="0" applyAlignment="0" applyProtection="0"/>
    <xf numFmtId="0" fontId="32" fillId="47" borderId="0" applyNumberFormat="0" applyBorder="0" applyAlignment="0" applyProtection="0"/>
    <xf numFmtId="0" fontId="31" fillId="47"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 fillId="20" borderId="0" applyNumberFormat="0" applyBorder="0" applyAlignment="0" applyProtection="0"/>
    <xf numFmtId="0" fontId="32" fillId="44"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 fillId="24" borderId="0" applyNumberFormat="0" applyBorder="0" applyAlignment="0" applyProtection="0"/>
    <xf numFmtId="0" fontId="32" fillId="45" borderId="0" applyNumberFormat="0" applyBorder="0" applyAlignment="0" applyProtection="0"/>
    <xf numFmtId="0" fontId="31" fillId="45"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 fillId="28" borderId="0" applyNumberFormat="0" applyBorder="0" applyAlignment="0" applyProtection="0"/>
    <xf numFmtId="0" fontId="32" fillId="48"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 fillId="32" borderId="0" applyNumberFormat="0" applyBorder="0" applyAlignment="0" applyProtection="0"/>
    <xf numFmtId="0" fontId="32"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 fillId="36" borderId="0" applyNumberFormat="0" applyBorder="0" applyAlignment="0" applyProtection="0"/>
    <xf numFmtId="0" fontId="32"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 fillId="13" borderId="0" applyNumberFormat="0" applyBorder="0" applyAlignment="0" applyProtection="0"/>
    <xf numFmtId="0" fontId="32" fillId="51"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 fillId="17" borderId="0" applyNumberFormat="0" applyBorder="0" applyAlignment="0" applyProtection="0"/>
    <xf numFmtId="0" fontId="32" fillId="52" borderId="0" applyNumberFormat="0" applyBorder="0" applyAlignment="0" applyProtection="0"/>
    <xf numFmtId="0" fontId="31" fillId="52"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 fillId="21" borderId="0" applyNumberFormat="0" applyBorder="0" applyAlignment="0" applyProtection="0"/>
    <xf numFmtId="0" fontId="32" fillId="53" borderId="0" applyNumberFormat="0" applyBorder="0" applyAlignment="0" applyProtection="0"/>
    <xf numFmtId="0" fontId="31" fillId="53"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 fillId="25" borderId="0" applyNumberFormat="0" applyBorder="0" applyAlignment="0" applyProtection="0"/>
    <xf numFmtId="0" fontId="32" fillId="48"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 fillId="29" borderId="0" applyNumberFormat="0" applyBorder="0" applyAlignment="0" applyProtection="0"/>
    <xf numFmtId="0" fontId="32" fillId="49" borderId="0" applyNumberFormat="0" applyBorder="0" applyAlignment="0" applyProtection="0"/>
    <xf numFmtId="0" fontId="31" fillId="49"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 fillId="33" borderId="0" applyNumberFormat="0" applyBorder="0" applyAlignment="0" applyProtection="0"/>
    <xf numFmtId="0" fontId="32" fillId="54" borderId="0" applyNumberFormat="0" applyBorder="0" applyAlignment="0" applyProtection="0"/>
    <xf numFmtId="0" fontId="31" fillId="54"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20" fillId="7" borderId="0" applyNumberFormat="0" applyBorder="0" applyAlignment="0" applyProtection="0"/>
    <xf numFmtId="0" fontId="34" fillId="38" borderId="0" applyNumberFormat="0" applyBorder="0" applyAlignment="0" applyProtection="0"/>
    <xf numFmtId="0" fontId="33" fillId="38" borderId="0" applyNumberFormat="0" applyBorder="0" applyAlignment="0" applyProtection="0"/>
    <xf numFmtId="167" fontId="35" fillId="0" borderId="0" applyFill="0"/>
    <xf numFmtId="167" fontId="35" fillId="0" borderId="0">
      <alignment horizontal="center"/>
    </xf>
    <xf numFmtId="0" fontId="35" fillId="0" borderId="0" applyFill="0">
      <alignment horizontal="center"/>
    </xf>
    <xf numFmtId="167" fontId="36" fillId="0" borderId="16" applyFill="0"/>
    <xf numFmtId="0" fontId="7" fillId="0" borderId="0" applyFont="0" applyAlignment="0"/>
    <xf numFmtId="0" fontId="7" fillId="0" borderId="0" applyFont="0" applyAlignment="0"/>
    <xf numFmtId="0" fontId="37" fillId="0" borderId="0" applyFill="0">
      <alignment vertical="top"/>
    </xf>
    <xf numFmtId="0" fontId="36" fillId="0" borderId="0" applyFill="0">
      <alignment horizontal="left" vertical="top"/>
    </xf>
    <xf numFmtId="167" fontId="38" fillId="0" borderId="14" applyFill="0"/>
    <xf numFmtId="0" fontId="7" fillId="0" borderId="0" applyNumberFormat="0" applyFont="0" applyAlignment="0"/>
    <xf numFmtId="0" fontId="7" fillId="0" borderId="0" applyNumberFormat="0" applyFont="0" applyAlignment="0"/>
    <xf numFmtId="0" fontId="37" fillId="0" borderId="0" applyFill="0">
      <alignment wrapText="1"/>
    </xf>
    <xf numFmtId="0" fontId="36" fillId="0" borderId="0" applyFill="0">
      <alignment horizontal="left" vertical="top" wrapText="1"/>
    </xf>
    <xf numFmtId="167" fontId="39" fillId="0" borderId="0" applyFill="0"/>
    <xf numFmtId="0" fontId="40" fillId="0" borderId="0" applyNumberFormat="0" applyFont="0" applyAlignment="0">
      <alignment horizontal="center"/>
    </xf>
    <xf numFmtId="0" fontId="41" fillId="0" borderId="0" applyFill="0">
      <alignment vertical="top" wrapText="1"/>
    </xf>
    <xf numFmtId="0" fontId="38" fillId="0" borderId="0" applyFill="0">
      <alignment horizontal="left" vertical="top" wrapText="1"/>
    </xf>
    <xf numFmtId="167" fontId="7" fillId="0" borderId="0" applyFill="0"/>
    <xf numFmtId="167" fontId="7" fillId="0" borderId="0" applyFill="0"/>
    <xf numFmtId="0" fontId="40" fillId="0" borderId="0" applyNumberFormat="0" applyFont="0" applyAlignment="0">
      <alignment horizontal="center"/>
    </xf>
    <xf numFmtId="0" fontId="42" fillId="0" borderId="0" applyFill="0">
      <alignment vertical="center" wrapText="1"/>
    </xf>
    <xf numFmtId="0" fontId="43" fillId="0" borderId="0">
      <alignment horizontal="left" vertical="center" wrapText="1"/>
    </xf>
    <xf numFmtId="167" fontId="44" fillId="0" borderId="0" applyFill="0"/>
    <xf numFmtId="0" fontId="40" fillId="0" borderId="0" applyNumberFormat="0" applyFont="0" applyAlignment="0">
      <alignment horizontal="center"/>
    </xf>
    <xf numFmtId="0" fontId="45" fillId="0" borderId="0" applyFill="0">
      <alignment horizontal="center" vertical="center" wrapText="1"/>
    </xf>
    <xf numFmtId="0" fontId="7" fillId="0" borderId="0" applyFill="0">
      <alignment horizontal="center" vertical="center" wrapText="1"/>
    </xf>
    <xf numFmtId="0" fontId="7" fillId="0" borderId="0" applyFill="0">
      <alignment horizontal="center" vertical="center" wrapText="1"/>
    </xf>
    <xf numFmtId="167" fontId="46" fillId="0" borderId="0" applyFill="0"/>
    <xf numFmtId="0" fontId="40" fillId="0" borderId="0" applyNumberFormat="0" applyFont="0" applyAlignment="0">
      <alignment horizontal="center"/>
    </xf>
    <xf numFmtId="0" fontId="47" fillId="0" borderId="0" applyFill="0">
      <alignment horizontal="center" vertical="center" wrapText="1"/>
    </xf>
    <xf numFmtId="0" fontId="48" fillId="0" borderId="0" applyFill="0">
      <alignment horizontal="center" vertical="center" wrapText="1"/>
    </xf>
    <xf numFmtId="167" fontId="49" fillId="0" borderId="0" applyFill="0"/>
    <xf numFmtId="0" fontId="40" fillId="0" borderId="0" applyNumberFormat="0" applyFont="0" applyAlignment="0">
      <alignment horizontal="center"/>
    </xf>
    <xf numFmtId="0" fontId="50" fillId="0" borderId="0">
      <alignment horizontal="center" wrapText="1"/>
    </xf>
    <xf numFmtId="0" fontId="46" fillId="0" borderId="0" applyFill="0">
      <alignment horizontal="center" wrapText="1"/>
    </xf>
    <xf numFmtId="0" fontId="51" fillId="55" borderId="17" applyNumberFormat="0" applyAlignment="0" applyProtection="0"/>
    <xf numFmtId="0" fontId="51" fillId="55" borderId="17" applyNumberFormat="0" applyAlignment="0" applyProtection="0"/>
    <xf numFmtId="0" fontId="24" fillId="10" borderId="7" applyNumberFormat="0" applyAlignment="0" applyProtection="0"/>
    <xf numFmtId="0" fontId="52" fillId="55" borderId="17" applyNumberFormat="0" applyAlignment="0" applyProtection="0"/>
    <xf numFmtId="0" fontId="51" fillId="55" borderId="17" applyNumberFormat="0" applyAlignment="0" applyProtection="0"/>
    <xf numFmtId="0" fontId="53" fillId="56" borderId="18" applyNumberFormat="0" applyAlignment="0" applyProtection="0"/>
    <xf numFmtId="0" fontId="53" fillId="56" borderId="18" applyNumberFormat="0" applyAlignment="0" applyProtection="0"/>
    <xf numFmtId="0" fontId="26" fillId="11" borderId="10" applyNumberFormat="0" applyAlignment="0" applyProtection="0"/>
    <xf numFmtId="0" fontId="54" fillId="56" borderId="18" applyNumberFormat="0" applyAlignment="0" applyProtection="0"/>
    <xf numFmtId="0" fontId="53" fillId="56" borderId="18" applyNumberFormat="0" applyAlignment="0" applyProtection="0"/>
    <xf numFmtId="41" fontId="7" fillId="0" borderId="0" applyFont="0" applyFill="0" applyBorder="0" applyAlignment="0" applyProtection="0"/>
    <xf numFmtId="41" fontId="7" fillId="0" borderId="0" applyFont="0" applyFill="0" applyBorder="0" applyAlignment="0" applyProtection="0"/>
    <xf numFmtId="40" fontId="5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5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55" fillId="0" borderId="0" applyFont="0" applyFill="0" applyBorder="0" applyAlignment="0" applyProtection="0"/>
    <xf numFmtId="40" fontId="55" fillId="0" borderId="0" applyFont="0" applyFill="0" applyBorder="0" applyAlignment="0" applyProtection="0"/>
    <xf numFmtId="40" fontId="55" fillId="0" borderId="0" applyFont="0" applyFill="0" applyBorder="0" applyAlignment="0" applyProtection="0"/>
    <xf numFmtId="40" fontId="55" fillId="0" borderId="0" applyFont="0" applyFill="0" applyBorder="0" applyAlignment="0" applyProtection="0"/>
    <xf numFmtId="40" fontId="55" fillId="0" borderId="0" applyFont="0" applyFill="0" applyBorder="0" applyAlignment="0" applyProtection="0"/>
    <xf numFmtId="40" fontId="55" fillId="0" borderId="0" applyFont="0" applyFill="0" applyBorder="0" applyAlignment="0" applyProtection="0"/>
    <xf numFmtId="40" fontId="55" fillId="0" borderId="0" applyFont="0" applyFill="0" applyBorder="0" applyAlignment="0" applyProtection="0"/>
    <xf numFmtId="40" fontId="55" fillId="0" borderId="0" applyFont="0" applyFill="0" applyBorder="0" applyAlignment="0" applyProtection="0"/>
    <xf numFmtId="40" fontId="55" fillId="0" borderId="0" applyFont="0" applyFill="0" applyBorder="0" applyAlignment="0" applyProtection="0"/>
    <xf numFmtId="40" fontId="5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55" fillId="0" borderId="0" applyFont="0" applyFill="0" applyBorder="0" applyAlignment="0" applyProtection="0"/>
    <xf numFmtId="40" fontId="55" fillId="0" borderId="0" applyFont="0" applyFill="0" applyBorder="0" applyAlignment="0" applyProtection="0"/>
    <xf numFmtId="40" fontId="55" fillId="0" borderId="0" applyFont="0" applyFill="0" applyBorder="0" applyAlignment="0" applyProtection="0"/>
    <xf numFmtId="40" fontId="55" fillId="0" borderId="0" applyFont="0" applyFill="0" applyBorder="0" applyAlignment="0" applyProtection="0"/>
    <xf numFmtId="40" fontId="55" fillId="0" borderId="0" applyFont="0" applyFill="0" applyBorder="0" applyAlignment="0" applyProtection="0"/>
    <xf numFmtId="40" fontId="55" fillId="0" borderId="0" applyFont="0" applyFill="0" applyBorder="0" applyAlignment="0" applyProtection="0"/>
    <xf numFmtId="40" fontId="55" fillId="0" borderId="0" applyFont="0" applyFill="0" applyBorder="0" applyAlignment="0" applyProtection="0"/>
    <xf numFmtId="40" fontId="55" fillId="0" borderId="0" applyFont="0" applyFill="0" applyBorder="0" applyAlignment="0" applyProtection="0"/>
    <xf numFmtId="40" fontId="55" fillId="0" borderId="0" applyFont="0" applyFill="0" applyBorder="0" applyAlignment="0" applyProtection="0"/>
    <xf numFmtId="40" fontId="5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0" fontId="5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0" fontId="55" fillId="0" borderId="0" applyFont="0" applyFill="0" applyBorder="0" applyAlignment="0" applyProtection="0"/>
    <xf numFmtId="40" fontId="55" fillId="0" borderId="0" applyFont="0" applyFill="0" applyBorder="0" applyAlignment="0" applyProtection="0"/>
    <xf numFmtId="40" fontId="55" fillId="0" borderId="0" applyFont="0" applyFill="0" applyBorder="0" applyAlignment="0" applyProtection="0"/>
    <xf numFmtId="40" fontId="55" fillId="0" borderId="0" applyFont="0" applyFill="0" applyBorder="0" applyAlignment="0" applyProtection="0"/>
    <xf numFmtId="40" fontId="55" fillId="0" borderId="0" applyFont="0" applyFill="0" applyBorder="0" applyAlignment="0" applyProtection="0"/>
    <xf numFmtId="40" fontId="5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55" fillId="0" borderId="0" applyFont="0" applyFill="0" applyBorder="0" applyAlignment="0" applyProtection="0"/>
    <xf numFmtId="40" fontId="55" fillId="0" borderId="0" applyFont="0" applyFill="0" applyBorder="0" applyAlignment="0" applyProtection="0"/>
    <xf numFmtId="43" fontId="7" fillId="0" borderId="0" applyFont="0" applyFill="0" applyBorder="0" applyAlignment="0" applyProtection="0"/>
    <xf numFmtId="40" fontId="55" fillId="0" borderId="0" applyFont="0" applyFill="0" applyBorder="0" applyAlignment="0" applyProtection="0"/>
    <xf numFmtId="40" fontId="55" fillId="0" borderId="0" applyFont="0" applyFill="0" applyBorder="0" applyAlignment="0" applyProtection="0"/>
    <xf numFmtId="40" fontId="5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5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5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 fontId="7"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7" fillId="0" borderId="0" applyFont="0" applyFill="0" applyBorder="0" applyAlignment="0" applyProtection="0"/>
    <xf numFmtId="3" fontId="56"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5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5" fontId="7" fillId="0" borderId="0" applyFont="0" applyFill="0" applyBorder="0" applyAlignment="0" applyProtection="0"/>
    <xf numFmtId="171" fontId="5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171" fontId="56" fillId="0" borderId="0" applyFont="0" applyFill="0" applyBorder="0" applyAlignment="0" applyProtection="0"/>
    <xf numFmtId="14" fontId="7" fillId="0" borderId="0" applyFont="0" applyFill="0" applyBorder="0" applyAlignment="0" applyProtection="0"/>
    <xf numFmtId="0" fontId="56" fillId="0" borderId="0" applyFont="0" applyFill="0" applyBorder="0" applyAlignment="0" applyProtection="0"/>
    <xf numFmtId="0" fontId="56" fillId="0" borderId="0" applyFont="0" applyFill="0" applyBorder="0" applyAlignment="0" applyProtection="0"/>
    <xf numFmtId="14" fontId="7" fillId="0" borderId="0" applyFont="0" applyFill="0" applyBorder="0" applyAlignment="0" applyProtection="0"/>
    <xf numFmtId="0" fontId="56" fillId="0" borderId="0" applyFont="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0" fontId="56"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28"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2" fontId="7" fillId="0" borderId="0" applyFont="0" applyFill="0" applyBorder="0" applyAlignment="0" applyProtection="0"/>
    <xf numFmtId="2" fontId="56" fillId="0" borderId="0" applyFont="0" applyFill="0" applyBorder="0" applyAlignment="0" applyProtection="0"/>
    <xf numFmtId="2" fontId="56" fillId="0" borderId="0" applyFont="0" applyFill="0" applyBorder="0" applyAlignment="0" applyProtection="0"/>
    <xf numFmtId="2" fontId="7" fillId="0" borderId="0" applyFont="0" applyFill="0" applyBorder="0" applyAlignment="0" applyProtection="0"/>
    <xf numFmtId="2" fontId="56"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2" fontId="56" fillId="0" borderId="0" applyFont="0" applyFill="0" applyBorder="0" applyAlignment="0" applyProtection="0"/>
    <xf numFmtId="0" fontId="59" fillId="39" borderId="0" applyNumberFormat="0" applyBorder="0" applyAlignment="0" applyProtection="0"/>
    <xf numFmtId="0" fontId="59" fillId="39" borderId="0" applyNumberFormat="0" applyBorder="0" applyAlignment="0" applyProtection="0"/>
    <xf numFmtId="0" fontId="19" fillId="6" borderId="0" applyNumberFormat="0" applyBorder="0" applyAlignment="0" applyProtection="0"/>
    <xf numFmtId="0" fontId="60" fillId="39" borderId="0" applyNumberFormat="0" applyBorder="0" applyAlignment="0" applyProtection="0"/>
    <xf numFmtId="0" fontId="59" fillId="39" borderId="0" applyNumberFormat="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6" fillId="0" borderId="4" applyNumberFormat="0" applyFill="0" applyAlignment="0" applyProtection="0"/>
    <xf numFmtId="0" fontId="62"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7" fillId="0" borderId="5" applyNumberFormat="0" applyFill="0" applyAlignment="0" applyProtection="0"/>
    <xf numFmtId="0" fontId="38"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19" applyNumberFormat="0" applyFill="0" applyAlignment="0" applyProtection="0"/>
    <xf numFmtId="0" fontId="64" fillId="0" borderId="19" applyNumberFormat="0" applyFill="0" applyAlignment="0" applyProtection="0"/>
    <xf numFmtId="0" fontId="18" fillId="0" borderId="6" applyNumberFormat="0" applyFill="0" applyAlignment="0" applyProtection="0"/>
    <xf numFmtId="0" fontId="65" fillId="0" borderId="19" applyNumberFormat="0" applyFill="0" applyAlignment="0" applyProtection="0"/>
    <xf numFmtId="0" fontId="64" fillId="0" borderId="19"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8"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6" fillId="0" borderId="13"/>
    <xf numFmtId="0" fontId="67" fillId="0" borderId="0"/>
    <xf numFmtId="0" fontId="68" fillId="42" borderId="17" applyNumberFormat="0" applyAlignment="0" applyProtection="0"/>
    <xf numFmtId="0" fontId="68" fillId="42" borderId="17" applyNumberFormat="0" applyAlignment="0" applyProtection="0"/>
    <xf numFmtId="0" fontId="22" fillId="9" borderId="7" applyNumberFormat="0" applyAlignment="0" applyProtection="0"/>
    <xf numFmtId="0" fontId="69" fillId="42" borderId="17" applyNumberFormat="0" applyAlignment="0" applyProtection="0"/>
    <xf numFmtId="0" fontId="68" fillId="42" borderId="17" applyNumberFormat="0" applyAlignment="0" applyProtection="0"/>
    <xf numFmtId="0" fontId="70" fillId="0" borderId="20" applyNumberFormat="0" applyFill="0" applyAlignment="0" applyProtection="0"/>
    <xf numFmtId="0" fontId="70" fillId="0" borderId="20" applyNumberFormat="0" applyFill="0" applyAlignment="0" applyProtection="0"/>
    <xf numFmtId="0" fontId="25" fillId="0" borderId="9" applyNumberFormat="0" applyFill="0" applyAlignment="0" applyProtection="0"/>
    <xf numFmtId="0" fontId="71" fillId="0" borderId="20" applyNumberFormat="0" applyFill="0" applyAlignment="0" applyProtection="0"/>
    <xf numFmtId="0" fontId="70" fillId="0" borderId="20" applyNumberFormat="0" applyFill="0" applyAlignment="0" applyProtection="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0" fontId="72" fillId="57" borderId="0" applyNumberFormat="0" applyBorder="0" applyAlignment="0" applyProtection="0"/>
    <xf numFmtId="0" fontId="72" fillId="57" borderId="0" applyNumberFormat="0" applyBorder="0" applyAlignment="0" applyProtection="0"/>
    <xf numFmtId="0" fontId="21" fillId="8" borderId="0" applyNumberFormat="0" applyBorder="0" applyAlignment="0" applyProtection="0"/>
    <xf numFmtId="0" fontId="73" fillId="57" borderId="0" applyNumberFormat="0" applyBorder="0" applyAlignment="0" applyProtection="0"/>
    <xf numFmtId="0" fontId="72" fillId="57" borderId="0" applyNumberFormat="0" applyBorder="0" applyAlignment="0" applyProtection="0"/>
    <xf numFmtId="0" fontId="2" fillId="0" borderId="0"/>
    <xf numFmtId="0" fontId="55" fillId="0" borderId="0"/>
    <xf numFmtId="3" fontId="7" fillId="0" borderId="0"/>
    <xf numFmtId="3" fontId="7" fillId="0" borderId="0"/>
    <xf numFmtId="0" fontId="55" fillId="0" borderId="0"/>
    <xf numFmtId="0" fontId="55" fillId="0" borderId="0"/>
    <xf numFmtId="0" fontId="7" fillId="0" borderId="0"/>
    <xf numFmtId="0" fontId="7" fillId="0" borderId="0"/>
    <xf numFmtId="3" fontId="7" fillId="0" borderId="0"/>
    <xf numFmtId="3" fontId="7" fillId="0" borderId="0"/>
    <xf numFmtId="0" fontId="7" fillId="0" borderId="0"/>
    <xf numFmtId="0" fontId="55" fillId="0" borderId="0"/>
    <xf numFmtId="3" fontId="7" fillId="0" borderId="0"/>
    <xf numFmtId="0" fontId="55" fillId="0" borderId="0"/>
    <xf numFmtId="0" fontId="2" fillId="0" borderId="0"/>
    <xf numFmtId="0" fontId="2" fillId="0" borderId="0"/>
    <xf numFmtId="3" fontId="7" fillId="0" borderId="0"/>
    <xf numFmtId="3" fontId="7" fillId="0" borderId="0"/>
    <xf numFmtId="3" fontId="7" fillId="0" borderId="0"/>
    <xf numFmtId="3" fontId="7" fillId="0" borderId="0"/>
    <xf numFmtId="3" fontId="7" fillId="0" borderId="0"/>
    <xf numFmtId="0"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0" fontId="7" fillId="0" borderId="0"/>
    <xf numFmtId="0" fontId="7" fillId="0" borderId="0"/>
    <xf numFmtId="0" fontId="74" fillId="0" borderId="0"/>
    <xf numFmtId="0" fontId="75" fillId="0" borderId="0"/>
    <xf numFmtId="0" fontId="7" fillId="0" borderId="0"/>
    <xf numFmtId="0" fontId="7" fillId="0" borderId="0"/>
    <xf numFmtId="0" fontId="74" fillId="0" borderId="0"/>
    <xf numFmtId="0" fontId="7" fillId="0" borderId="0"/>
    <xf numFmtId="0"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5" fillId="0" borderId="0"/>
    <xf numFmtId="0" fontId="7" fillId="0" borderId="0"/>
    <xf numFmtId="3" fontId="7" fillId="0" borderId="0"/>
    <xf numFmtId="0" fontId="7" fillId="0" borderId="0"/>
    <xf numFmtId="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 fontId="7" fillId="0" borderId="0"/>
    <xf numFmtId="0" fontId="7" fillId="0" borderId="0"/>
    <xf numFmtId="0" fontId="55" fillId="0" borderId="0"/>
    <xf numFmtId="0" fontId="7" fillId="0" borderId="0"/>
    <xf numFmtId="0" fontId="7" fillId="0" borderId="0"/>
    <xf numFmtId="0" fontId="55" fillId="0" borderId="0"/>
    <xf numFmtId="0" fontId="55" fillId="0" borderId="0"/>
    <xf numFmtId="3" fontId="7" fillId="0" borderId="0"/>
    <xf numFmtId="3" fontId="7" fillId="0" borderId="0"/>
    <xf numFmtId="0" fontId="7" fillId="0" borderId="0"/>
    <xf numFmtId="0" fontId="2" fillId="0" borderId="0"/>
    <xf numFmtId="0" fontId="55"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7" fillId="0" borderId="0"/>
    <xf numFmtId="0" fontId="7" fillId="0" borderId="0"/>
    <xf numFmtId="0" fontId="2" fillId="0" borderId="0"/>
    <xf numFmtId="0" fontId="2" fillId="0" borderId="0"/>
    <xf numFmtId="0" fontId="55" fillId="0" borderId="0"/>
    <xf numFmtId="0" fontId="7" fillId="0" borderId="0"/>
    <xf numFmtId="0" fontId="2" fillId="0" borderId="0"/>
    <xf numFmtId="0" fontId="2" fillId="0" borderId="0"/>
    <xf numFmtId="0" fontId="55" fillId="0" borderId="0"/>
    <xf numFmtId="0" fontId="7" fillId="0" borderId="0"/>
    <xf numFmtId="0" fontId="2" fillId="0" borderId="0"/>
    <xf numFmtId="0" fontId="7" fillId="58" borderId="21" applyNumberFormat="0" applyFont="0" applyAlignment="0" applyProtection="0"/>
    <xf numFmtId="0" fontId="29" fillId="12" borderId="11" applyNumberFormat="0" applyFont="0" applyAlignment="0" applyProtection="0"/>
    <xf numFmtId="0" fontId="29" fillId="12" borderId="11" applyNumberFormat="0" applyFont="0" applyAlignment="0" applyProtection="0"/>
    <xf numFmtId="0" fontId="7" fillId="58" borderId="21" applyNumberFormat="0" applyFont="0" applyAlignment="0" applyProtection="0"/>
    <xf numFmtId="0" fontId="29" fillId="12" borderId="11" applyNumberFormat="0" applyFont="0" applyAlignment="0" applyProtection="0"/>
    <xf numFmtId="0" fontId="29" fillId="12" borderId="11" applyNumberFormat="0" applyFont="0" applyAlignment="0" applyProtection="0"/>
    <xf numFmtId="0" fontId="76" fillId="58" borderId="21" applyNumberFormat="0" applyFont="0" applyAlignment="0" applyProtection="0"/>
    <xf numFmtId="0" fontId="7" fillId="58" borderId="21" applyNumberFormat="0" applyFont="0" applyAlignment="0" applyProtection="0"/>
    <xf numFmtId="0" fontId="77" fillId="55" borderId="22" applyNumberFormat="0" applyAlignment="0" applyProtection="0"/>
    <xf numFmtId="0" fontId="77" fillId="55" borderId="22" applyNumberFormat="0" applyAlignment="0" applyProtection="0"/>
    <xf numFmtId="0" fontId="23" fillId="10" borderId="8" applyNumberFormat="0" applyAlignment="0" applyProtection="0"/>
    <xf numFmtId="0" fontId="78" fillId="55" borderId="22" applyNumberFormat="0" applyAlignment="0" applyProtection="0"/>
    <xf numFmtId="0" fontId="77" fillId="55" borderId="22"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15" fontId="55" fillId="0" borderId="0" applyFont="0" applyFill="0" applyBorder="0" applyAlignment="0" applyProtection="0"/>
    <xf numFmtId="15" fontId="55" fillId="0" borderId="0" applyFont="0" applyFill="0" applyBorder="0" applyAlignment="0" applyProtection="0"/>
    <xf numFmtId="15" fontId="55" fillId="0" borderId="0" applyFont="0" applyFill="0" applyBorder="0" applyAlignment="0" applyProtection="0"/>
    <xf numFmtId="15" fontId="55" fillId="0" borderId="0" applyFont="0" applyFill="0" applyBorder="0" applyAlignment="0" applyProtection="0"/>
    <xf numFmtId="15" fontId="55" fillId="0" borderId="0" applyFont="0" applyFill="0" applyBorder="0" applyAlignment="0" applyProtection="0"/>
    <xf numFmtId="15" fontId="55" fillId="0" borderId="0" applyFont="0" applyFill="0" applyBorder="0" applyAlignment="0" applyProtection="0"/>
    <xf numFmtId="15" fontId="55" fillId="0" borderId="0" applyFont="0" applyFill="0" applyBorder="0" applyAlignment="0" applyProtection="0"/>
    <xf numFmtId="4" fontId="55" fillId="0" borderId="0" applyFont="0" applyFill="0" applyBorder="0" applyAlignment="0" applyProtection="0"/>
    <xf numFmtId="4" fontId="55" fillId="0" borderId="0" applyFont="0" applyFill="0" applyBorder="0" applyAlignment="0" applyProtection="0"/>
    <xf numFmtId="4" fontId="55" fillId="0" borderId="0" applyFont="0" applyFill="0" applyBorder="0" applyAlignment="0" applyProtection="0"/>
    <xf numFmtId="4" fontId="55" fillId="0" borderId="0" applyFont="0" applyFill="0" applyBorder="0" applyAlignment="0" applyProtection="0"/>
    <xf numFmtId="4" fontId="55" fillId="0" borderId="0" applyFont="0" applyFill="0" applyBorder="0" applyAlignment="0" applyProtection="0"/>
    <xf numFmtId="4" fontId="55" fillId="0" borderId="0" applyFont="0" applyFill="0" applyBorder="0" applyAlignment="0" applyProtection="0"/>
    <xf numFmtId="4" fontId="55" fillId="0" borderId="0" applyFont="0" applyFill="0" applyBorder="0" applyAlignment="0" applyProtection="0"/>
    <xf numFmtId="3" fontId="7" fillId="0" borderId="0">
      <alignment horizontal="left" vertical="top"/>
    </xf>
    <xf numFmtId="3" fontId="7" fillId="0" borderId="0">
      <alignment horizontal="left" vertical="top"/>
    </xf>
    <xf numFmtId="0" fontId="79" fillId="0" borderId="13">
      <alignment horizontal="center"/>
    </xf>
    <xf numFmtId="0" fontId="79" fillId="0" borderId="13">
      <alignment horizontal="center"/>
    </xf>
    <xf numFmtId="0" fontId="79" fillId="0" borderId="13">
      <alignment horizontal="center"/>
    </xf>
    <xf numFmtId="0" fontId="79" fillId="0" borderId="13">
      <alignment horizontal="center"/>
    </xf>
    <xf numFmtId="0" fontId="79" fillId="0" borderId="13">
      <alignment horizontal="center"/>
    </xf>
    <xf numFmtId="0" fontId="79" fillId="0" borderId="13">
      <alignment horizontal="center"/>
    </xf>
    <xf numFmtId="0" fontId="79" fillId="0" borderId="13">
      <alignment horizontal="center"/>
    </xf>
    <xf numFmtId="0" fontId="79" fillId="0" borderId="13">
      <alignment horizontal="center"/>
    </xf>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0" fontId="55" fillId="59" borderId="0" applyNumberFormat="0" applyFont="0" applyBorder="0" applyAlignment="0" applyProtection="0"/>
    <xf numFmtId="0" fontId="55" fillId="59" borderId="0" applyNumberFormat="0" applyFont="0" applyBorder="0" applyAlignment="0" applyProtection="0"/>
    <xf numFmtId="0" fontId="55" fillId="59" borderId="0" applyNumberFormat="0" applyFont="0" applyBorder="0" applyAlignment="0" applyProtection="0"/>
    <xf numFmtId="0" fontId="55" fillId="59" borderId="0" applyNumberFormat="0" applyFont="0" applyBorder="0" applyAlignment="0" applyProtection="0"/>
    <xf numFmtId="3" fontId="7" fillId="0" borderId="0">
      <alignment horizontal="right" vertical="top"/>
    </xf>
    <xf numFmtId="3" fontId="7" fillId="0" borderId="0">
      <alignment horizontal="right" vertical="top"/>
    </xf>
    <xf numFmtId="41" fontId="43" fillId="4" borderId="3" applyFill="0"/>
    <xf numFmtId="0" fontId="80" fillId="0" borderId="0">
      <alignment horizontal="left" indent="7"/>
    </xf>
    <xf numFmtId="41" fontId="43" fillId="0" borderId="3" applyFill="0">
      <alignment horizontal="left" indent="2"/>
    </xf>
    <xf numFmtId="167" fontId="81" fillId="0" borderId="15" applyFill="0">
      <alignment horizontal="right"/>
    </xf>
    <xf numFmtId="0" fontId="6" fillId="0" borderId="1" applyNumberFormat="0" applyFont="0" applyBorder="0">
      <alignment horizontal="right"/>
    </xf>
    <xf numFmtId="0" fontId="82" fillId="0" borderId="0" applyFill="0"/>
    <xf numFmtId="0" fontId="38" fillId="0" borderId="0" applyFill="0"/>
    <xf numFmtId="4" fontId="81" fillId="0" borderId="15" applyFill="0"/>
    <xf numFmtId="0" fontId="7" fillId="0" borderId="0" applyNumberFormat="0" applyFont="0" applyBorder="0" applyAlignment="0"/>
    <xf numFmtId="0" fontId="7" fillId="0" borderId="0" applyNumberFormat="0" applyFont="0" applyBorder="0" applyAlignment="0"/>
    <xf numFmtId="0" fontId="41" fillId="0" borderId="0" applyFill="0">
      <alignment horizontal="left" indent="1"/>
    </xf>
    <xf numFmtId="0" fontId="83" fillId="0" borderId="0" applyFill="0">
      <alignment horizontal="left" indent="1"/>
    </xf>
    <xf numFmtId="4" fontId="44" fillId="0" borderId="0" applyFill="0"/>
    <xf numFmtId="0" fontId="7" fillId="0" borderId="0" applyNumberFormat="0" applyFont="0" applyFill="0" applyBorder="0" applyAlignment="0"/>
    <xf numFmtId="0" fontId="7" fillId="0" borderId="0" applyNumberFormat="0" applyFont="0" applyFill="0" applyBorder="0" applyAlignment="0"/>
    <xf numFmtId="0" fontId="41" fillId="0" borderId="0" applyFill="0">
      <alignment horizontal="left" indent="2"/>
    </xf>
    <xf numFmtId="0" fontId="38" fillId="0" borderId="0" applyFill="0">
      <alignment horizontal="left" indent="2"/>
    </xf>
    <xf numFmtId="4" fontId="44" fillId="0" borderId="0" applyFill="0"/>
    <xf numFmtId="0" fontId="7" fillId="0" borderId="0" applyNumberFormat="0" applyFont="0" applyBorder="0" applyAlignment="0"/>
    <xf numFmtId="0" fontId="7" fillId="0" borderId="0" applyNumberFormat="0" applyFont="0" applyBorder="0" applyAlignment="0"/>
    <xf numFmtId="0" fontId="84" fillId="0" borderId="0">
      <alignment horizontal="left" indent="3"/>
    </xf>
    <xf numFmtId="0" fontId="85" fillId="0" borderId="0" applyFill="0">
      <alignment horizontal="left" indent="3"/>
    </xf>
    <xf numFmtId="4" fontId="44" fillId="0" borderId="0" applyFill="0"/>
    <xf numFmtId="0" fontId="7" fillId="0" borderId="0" applyNumberFormat="0" applyFont="0" applyBorder="0" applyAlignment="0"/>
    <xf numFmtId="0" fontId="7" fillId="0" borderId="0" applyNumberFormat="0" applyFont="0" applyBorder="0" applyAlignment="0"/>
    <xf numFmtId="0" fontId="45" fillId="0" borderId="0">
      <alignment horizontal="left" indent="4"/>
    </xf>
    <xf numFmtId="0" fontId="7" fillId="0" borderId="0" applyFill="0">
      <alignment horizontal="left" indent="4"/>
    </xf>
    <xf numFmtId="0" fontId="7" fillId="0" borderId="0" applyFill="0">
      <alignment horizontal="left" indent="4"/>
    </xf>
    <xf numFmtId="4" fontId="46" fillId="0" borderId="0" applyFill="0"/>
    <xf numFmtId="0" fontId="7" fillId="0" borderId="0" applyNumberFormat="0" applyFont="0" applyBorder="0" applyAlignment="0"/>
    <xf numFmtId="0" fontId="7" fillId="0" borderId="0" applyNumberFormat="0" applyFont="0" applyBorder="0" applyAlignment="0"/>
    <xf numFmtId="0" fontId="47" fillId="0" borderId="0">
      <alignment horizontal="left" indent="5"/>
    </xf>
    <xf numFmtId="0" fontId="48" fillId="0" borderId="0" applyFill="0">
      <alignment horizontal="left" indent="5"/>
    </xf>
    <xf numFmtId="4" fontId="49" fillId="0" borderId="0" applyFill="0"/>
    <xf numFmtId="0" fontId="7" fillId="0" borderId="0" applyNumberFormat="0" applyFont="0" applyFill="0" applyBorder="0" applyAlignment="0"/>
    <xf numFmtId="0" fontId="7" fillId="0" borderId="0" applyNumberFormat="0" applyFont="0" applyFill="0" applyBorder="0" applyAlignment="0"/>
    <xf numFmtId="0" fontId="50" fillId="0" borderId="0" applyFill="0">
      <alignment horizontal="left" indent="6"/>
    </xf>
    <xf numFmtId="0" fontId="46" fillId="0" borderId="0" applyFill="0">
      <alignment horizontal="left" indent="6"/>
    </xf>
    <xf numFmtId="0" fontId="86" fillId="0" borderId="0" applyNumberFormat="0" applyFill="0" applyBorder="0" applyAlignment="0" applyProtection="0"/>
    <xf numFmtId="0" fontId="86" fillId="0" borderId="0" applyNumberFormat="0" applyFill="0" applyBorder="0" applyAlignment="0" applyProtection="0"/>
    <xf numFmtId="0" fontId="15" fillId="0" borderId="0" applyNumberFormat="0" applyFill="0" applyBorder="0" applyAlignment="0" applyProtection="0"/>
    <xf numFmtId="0" fontId="86" fillId="0" borderId="0" applyNumberFormat="0" applyFill="0" applyBorder="0" applyAlignment="0" applyProtection="0"/>
    <xf numFmtId="0" fontId="56" fillId="0" borderId="16" applyNumberFormat="0" applyFont="0" applyFill="0" applyAlignment="0" applyProtection="0"/>
    <xf numFmtId="0" fontId="56" fillId="0" borderId="16" applyNumberFormat="0" applyFont="0" applyFill="0" applyAlignment="0" applyProtection="0"/>
    <xf numFmtId="0" fontId="1" fillId="0" borderId="12" applyNumberFormat="0" applyFill="0" applyAlignment="0" applyProtection="0"/>
    <xf numFmtId="0" fontId="7" fillId="0" borderId="0" applyFont="0" applyFill="0" applyBorder="0" applyAlignment="0" applyProtection="0"/>
    <xf numFmtId="0" fontId="56" fillId="0" borderId="16" applyNumberFormat="0" applyFont="0" applyFill="0" applyAlignment="0" applyProtection="0"/>
    <xf numFmtId="0" fontId="56" fillId="0" borderId="16" applyNumberFormat="0" applyFont="0" applyFill="0" applyAlignment="0" applyProtection="0"/>
    <xf numFmtId="0" fontId="56" fillId="0" borderId="16" applyNumberFormat="0" applyFont="0" applyFill="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27"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43" fontId="94" fillId="0" borderId="0" applyFont="0" applyFill="0" applyBorder="0" applyAlignment="0" applyProtection="0"/>
    <xf numFmtId="9" fontId="94" fillId="0" borderId="0" applyFont="0" applyFill="0" applyBorder="0" applyAlignment="0" applyProtection="0"/>
    <xf numFmtId="167" fontId="76" fillId="0" borderId="0" applyProtection="0"/>
    <xf numFmtId="0" fontId="97" fillId="0" borderId="0"/>
    <xf numFmtId="43" fontId="97" fillId="0" borderId="0" applyFont="0" applyFill="0" applyBorder="0" applyAlignment="0" applyProtection="0"/>
    <xf numFmtId="9" fontId="97" fillId="0" borderId="0" applyFont="0" applyFill="0" applyBorder="0" applyAlignment="0" applyProtection="0"/>
    <xf numFmtId="43" fontId="97" fillId="0" borderId="0" applyFont="0" applyFill="0" applyBorder="0" applyAlignment="0" applyProtection="0"/>
    <xf numFmtId="9" fontId="97"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44" fontId="5" fillId="0" borderId="0" applyFont="0" applyFill="0" applyBorder="0" applyAlignment="0" applyProtection="0"/>
  </cellStyleXfs>
  <cellXfs count="486">
    <xf numFmtId="0" fontId="0" fillId="0" borderId="0" xfId="0"/>
    <xf numFmtId="164" fontId="0" fillId="0" borderId="1" xfId="1" applyNumberFormat="1" applyFont="1" applyBorder="1"/>
    <xf numFmtId="0" fontId="4" fillId="0" borderId="0" xfId="0" applyFont="1"/>
    <xf numFmtId="0" fontId="6" fillId="0" borderId="0" xfId="2" applyFont="1" applyAlignment="1">
      <alignment horizontal="center" vertical="center" wrapText="1"/>
    </xf>
    <xf numFmtId="165" fontId="6" fillId="0" borderId="0" xfId="2" applyNumberFormat="1" applyFont="1" applyAlignment="1">
      <alignment horizontal="center" vertical="center" wrapText="1"/>
    </xf>
    <xf numFmtId="10" fontId="6" fillId="0" borderId="0" xfId="3" quotePrefix="1" applyNumberFormat="1" applyFont="1" applyAlignment="1">
      <alignment horizontal="center" vertical="center" wrapText="1"/>
    </xf>
    <xf numFmtId="0" fontId="6" fillId="0" borderId="0" xfId="2" applyFont="1"/>
    <xf numFmtId="10" fontId="6" fillId="3" borderId="0" xfId="3" quotePrefix="1" applyNumberFormat="1" applyFont="1" applyFill="1" applyAlignment="1">
      <alignment horizontal="center" vertical="center" wrapText="1"/>
    </xf>
    <xf numFmtId="0" fontId="6" fillId="3" borderId="0" xfId="2" applyFont="1" applyFill="1"/>
    <xf numFmtId="166" fontId="5" fillId="0" borderId="0" xfId="2" applyNumberFormat="1" applyAlignment="1">
      <alignment horizontal="center"/>
    </xf>
    <xf numFmtId="165" fontId="5" fillId="0" borderId="0" xfId="2" applyNumberFormat="1" applyAlignment="1">
      <alignment horizontal="center"/>
    </xf>
    <xf numFmtId="10" fontId="5" fillId="0" borderId="0" xfId="3" applyNumberFormat="1" applyFont="1" applyAlignment="1">
      <alignment horizontal="center"/>
    </xf>
    <xf numFmtId="14" fontId="5" fillId="0" borderId="0" xfId="2" applyNumberFormat="1"/>
    <xf numFmtId="0" fontId="5" fillId="0" borderId="0" xfId="2" quotePrefix="1" applyAlignment="1">
      <alignment horizontal="left"/>
    </xf>
    <xf numFmtId="0" fontId="5" fillId="0" borderId="0" xfId="2"/>
    <xf numFmtId="0" fontId="5" fillId="0" borderId="0" xfId="2" applyAlignment="1">
      <alignment horizontal="center"/>
    </xf>
    <xf numFmtId="10" fontId="0" fillId="0" borderId="0" xfId="3" applyNumberFormat="1" applyFont="1" applyFill="1" applyAlignment="1">
      <alignment horizontal="center"/>
    </xf>
    <xf numFmtId="0" fontId="8" fillId="0" borderId="0" xfId="2" applyFont="1" applyAlignment="1">
      <alignment horizontal="center"/>
    </xf>
    <xf numFmtId="166" fontId="5" fillId="0" borderId="0" xfId="2" applyNumberFormat="1" applyFill="1" applyAlignment="1">
      <alignment horizontal="center"/>
    </xf>
    <xf numFmtId="165" fontId="5" fillId="0" borderId="0" xfId="2" applyNumberFormat="1" applyFill="1" applyAlignment="1">
      <alignment horizontal="center"/>
    </xf>
    <xf numFmtId="10" fontId="5" fillId="0" borderId="0" xfId="3" applyNumberFormat="1" applyFont="1" applyFill="1" applyAlignment="1">
      <alignment horizontal="center"/>
    </xf>
    <xf numFmtId="0" fontId="5" fillId="0" borderId="0" xfId="2" applyFill="1"/>
    <xf numFmtId="167" fontId="9" fillId="0" borderId="2" xfId="2" applyNumberFormat="1" applyFont="1" applyBorder="1" applyAlignment="1">
      <alignment horizontal="center" vertical="center" wrapText="1"/>
    </xf>
    <xf numFmtId="167" fontId="9" fillId="0" borderId="0" xfId="2" applyNumberFormat="1" applyFont="1" applyBorder="1" applyAlignment="1">
      <alignment horizontal="center" vertical="center" wrapText="1"/>
    </xf>
    <xf numFmtId="0" fontId="8" fillId="0" borderId="0" xfId="2" applyFont="1" applyFill="1" applyAlignment="1">
      <alignment horizontal="center"/>
    </xf>
    <xf numFmtId="10" fontId="0" fillId="0" borderId="0" xfId="3" quotePrefix="1" applyNumberFormat="1" applyFont="1" applyAlignment="1">
      <alignment horizontal="center"/>
    </xf>
    <xf numFmtId="10" fontId="8" fillId="0" borderId="0" xfId="3" quotePrefix="1" applyNumberFormat="1" applyFont="1" applyAlignment="1">
      <alignment horizontal="center"/>
    </xf>
    <xf numFmtId="0" fontId="10" fillId="0" borderId="0" xfId="2" applyFont="1" applyAlignment="1">
      <alignment horizontal="center"/>
    </xf>
    <xf numFmtId="10" fontId="5" fillId="0" borderId="0" xfId="2" applyNumberFormat="1"/>
    <xf numFmtId="10" fontId="0" fillId="0" borderId="0" xfId="3" quotePrefix="1" applyNumberFormat="1" applyFont="1" applyFill="1" applyAlignment="1">
      <alignment horizontal="center"/>
    </xf>
    <xf numFmtId="0" fontId="5" fillId="0" borderId="0" xfId="2" applyFill="1" applyAlignment="1">
      <alignment horizontal="center"/>
    </xf>
    <xf numFmtId="0" fontId="11" fillId="0" borderId="0" xfId="2" applyFont="1" applyAlignment="1">
      <alignment horizontal="center"/>
    </xf>
    <xf numFmtId="0" fontId="7" fillId="4" borderId="0" xfId="2" applyFont="1" applyFill="1"/>
    <xf numFmtId="0" fontId="5" fillId="4" borderId="0" xfId="2" applyFill="1"/>
    <xf numFmtId="0" fontId="6" fillId="5" borderId="0" xfId="2" quotePrefix="1" applyFont="1" applyFill="1" applyAlignment="1">
      <alignment horizontal="left"/>
    </xf>
    <xf numFmtId="0" fontId="7" fillId="5" borderId="0" xfId="2" applyFont="1" applyFill="1"/>
    <xf numFmtId="0" fontId="6" fillId="0" borderId="0" xfId="2" quotePrefix="1" applyFont="1" applyAlignment="1">
      <alignment horizontal="left"/>
    </xf>
    <xf numFmtId="0" fontId="12" fillId="0" borderId="0" xfId="2" applyFont="1"/>
    <xf numFmtId="0" fontId="8" fillId="0" borderId="0" xfId="2" quotePrefix="1" applyFont="1" applyAlignment="1">
      <alignment horizontal="center"/>
    </xf>
    <xf numFmtId="10" fontId="5" fillId="0" borderId="0" xfId="3" quotePrefix="1" applyNumberFormat="1" applyFont="1" applyFill="1" applyAlignment="1">
      <alignment horizontal="center"/>
    </xf>
    <xf numFmtId="0" fontId="7" fillId="0" borderId="0" xfId="2" applyFont="1"/>
    <xf numFmtId="0" fontId="6" fillId="0" borderId="0" xfId="2" quotePrefix="1" applyFont="1" applyFill="1" applyAlignment="1">
      <alignment horizontal="left"/>
    </xf>
    <xf numFmtId="0" fontId="7" fillId="0" borderId="0" xfId="2" applyFont="1" applyFill="1"/>
    <xf numFmtId="0" fontId="12" fillId="0" borderId="0" xfId="2" applyFont="1" applyFill="1"/>
    <xf numFmtId="0" fontId="12" fillId="0" borderId="0" xfId="2" quotePrefix="1" applyFont="1" applyFill="1" applyAlignment="1">
      <alignment horizontal="left"/>
    </xf>
    <xf numFmtId="10" fontId="7" fillId="0" borderId="0" xfId="3" quotePrefix="1" applyNumberFormat="1" applyFont="1" applyFill="1" applyAlignment="1">
      <alignment horizontal="center"/>
    </xf>
    <xf numFmtId="0" fontId="8" fillId="0" borderId="0" xfId="2" applyFont="1"/>
    <xf numFmtId="10" fontId="0" fillId="0" borderId="0" xfId="3" applyNumberFormat="1" applyFont="1" applyAlignment="1">
      <alignment horizontal="center"/>
    </xf>
    <xf numFmtId="0" fontId="7" fillId="0" borderId="0" xfId="2" applyFont="1" applyFill="1" applyProtection="1">
      <protection locked="0"/>
    </xf>
    <xf numFmtId="0" fontId="89" fillId="0" borderId="0" xfId="0" applyFont="1"/>
    <xf numFmtId="0" fontId="90" fillId="0" borderId="0" xfId="2" applyFont="1" applyFill="1" applyProtection="1">
      <protection locked="0"/>
    </xf>
    <xf numFmtId="0" fontId="90" fillId="0" borderId="0" xfId="2" applyFont="1" applyFill="1" applyBorder="1" applyAlignment="1" applyProtection="1">
      <alignment horizontal="center" wrapText="1"/>
      <protection locked="0"/>
    </xf>
    <xf numFmtId="0" fontId="43" fillId="0" borderId="0" xfId="2" applyFont="1" applyFill="1" applyProtection="1">
      <protection locked="0"/>
    </xf>
    <xf numFmtId="0" fontId="91" fillId="0" borderId="0" xfId="2" quotePrefix="1" applyNumberFormat="1" applyFont="1" applyFill="1" applyAlignment="1" applyProtection="1">
      <alignment horizontal="center"/>
      <protection locked="0"/>
    </xf>
    <xf numFmtId="5" fontId="90" fillId="0" borderId="0" xfId="2" applyNumberFormat="1" applyFont="1" applyFill="1" applyBorder="1" applyAlignment="1" applyProtection="1">
      <alignment horizontal="center"/>
      <protection locked="0"/>
    </xf>
    <xf numFmtId="168" fontId="43" fillId="0" borderId="0" xfId="2" applyNumberFormat="1" applyFont="1" applyFill="1" applyProtection="1">
      <protection locked="0"/>
    </xf>
    <xf numFmtId="164" fontId="90" fillId="0" borderId="0" xfId="2" applyNumberFormat="1" applyFont="1" applyFill="1" applyProtection="1">
      <protection locked="0"/>
    </xf>
    <xf numFmtId="0" fontId="90" fillId="0" borderId="0" xfId="2" applyFont="1" applyFill="1" applyAlignment="1" applyProtection="1">
      <alignment horizontal="center"/>
      <protection locked="0"/>
    </xf>
    <xf numFmtId="164" fontId="90" fillId="0" borderId="13" xfId="2" applyNumberFormat="1" applyFont="1" applyFill="1" applyBorder="1" applyProtection="1">
      <protection locked="0"/>
    </xf>
    <xf numFmtId="0" fontId="90" fillId="0" borderId="13" xfId="2" applyFont="1" applyFill="1" applyBorder="1" applyAlignment="1" applyProtection="1">
      <alignment horizontal="center"/>
      <protection locked="0"/>
    </xf>
    <xf numFmtId="0" fontId="43" fillId="0" borderId="13" xfId="2" applyFont="1" applyFill="1" applyBorder="1" applyProtection="1">
      <protection locked="0"/>
    </xf>
    <xf numFmtId="164" fontId="90" fillId="0" borderId="0" xfId="2" applyNumberFormat="1" applyFont="1" applyFill="1" applyAlignment="1" applyProtection="1">
      <alignment horizontal="left"/>
      <protection locked="0"/>
    </xf>
    <xf numFmtId="0" fontId="91" fillId="0" borderId="0" xfId="2" applyFont="1" applyFill="1" applyAlignment="1" applyProtection="1">
      <alignment horizontal="center"/>
      <protection locked="0"/>
    </xf>
    <xf numFmtId="0" fontId="91" fillId="0" borderId="0" xfId="2" applyNumberFormat="1" applyFont="1" applyFill="1" applyAlignment="1" applyProtection="1">
      <alignment horizontal="left"/>
      <protection locked="0"/>
    </xf>
    <xf numFmtId="169" fontId="90" fillId="0" borderId="0" xfId="3" applyNumberFormat="1" applyFont="1" applyFill="1" applyProtection="1">
      <protection locked="0"/>
    </xf>
    <xf numFmtId="0" fontId="92" fillId="0" borderId="0" xfId="2" applyFont="1" applyFill="1" applyAlignment="1" applyProtection="1">
      <alignment horizontal="left"/>
      <protection locked="0"/>
    </xf>
    <xf numFmtId="0" fontId="93" fillId="0" borderId="0" xfId="2" applyFont="1" applyFill="1" applyAlignment="1" applyProtection="1">
      <alignment horizontal="left"/>
      <protection locked="0"/>
    </xf>
    <xf numFmtId="14" fontId="90" fillId="0" borderId="0" xfId="2" applyNumberFormat="1" applyFont="1" applyFill="1" applyAlignment="1" applyProtection="1">
      <alignment horizontal="left"/>
      <protection locked="0"/>
    </xf>
    <xf numFmtId="164" fontId="90" fillId="0" borderId="0" xfId="4" applyNumberFormat="1" applyFont="1" applyFill="1" applyProtection="1">
      <protection locked="0"/>
    </xf>
    <xf numFmtId="164" fontId="90" fillId="0" borderId="0" xfId="5" applyNumberFormat="1" applyFont="1" applyFill="1" applyProtection="1">
      <protection locked="0"/>
    </xf>
    <xf numFmtId="170" fontId="90" fillId="0" borderId="0" xfId="2" applyNumberFormat="1" applyFont="1" applyFill="1" applyAlignment="1" applyProtection="1">
      <alignment horizontal="center"/>
      <protection locked="0"/>
    </xf>
    <xf numFmtId="0" fontId="90" fillId="0" borderId="0" xfId="2" applyNumberFormat="1" applyFont="1" applyFill="1" applyProtection="1">
      <protection locked="0"/>
    </xf>
    <xf numFmtId="0" fontId="90" fillId="0" borderId="0" xfId="2" applyNumberFormat="1" applyFont="1" applyFill="1"/>
    <xf numFmtId="0" fontId="7" fillId="0" borderId="0" xfId="2" applyFont="1" applyAlignment="1">
      <alignment horizontal="right"/>
    </xf>
    <xf numFmtId="0" fontId="91" fillId="0" borderId="15" xfId="2" applyNumberFormat="1" applyFont="1" applyFill="1" applyBorder="1" applyAlignment="1" applyProtection="1">
      <alignment horizontal="center" wrapText="1"/>
      <protection locked="0"/>
    </xf>
    <xf numFmtId="0" fontId="91" fillId="0" borderId="15" xfId="2" applyFont="1" applyFill="1" applyBorder="1" applyAlignment="1" applyProtection="1">
      <alignment horizontal="center" wrapText="1"/>
      <protection locked="0"/>
    </xf>
    <xf numFmtId="164" fontId="90" fillId="0" borderId="15" xfId="2" applyNumberFormat="1" applyFont="1" applyFill="1" applyBorder="1" applyProtection="1">
      <protection locked="0"/>
    </xf>
    <xf numFmtId="164" fontId="91" fillId="0" borderId="15" xfId="2" applyNumberFormat="1" applyFont="1" applyFill="1" applyBorder="1" applyAlignment="1" applyProtection="1">
      <alignment horizontal="center" wrapText="1"/>
      <protection locked="0"/>
    </xf>
    <xf numFmtId="0" fontId="91" fillId="0" borderId="15" xfId="2" applyFont="1" applyFill="1" applyBorder="1" applyAlignment="1" applyProtection="1">
      <alignment horizontal="center"/>
      <protection locked="0"/>
    </xf>
    <xf numFmtId="164" fontId="91" fillId="0" borderId="15" xfId="2" applyNumberFormat="1" applyFont="1" applyFill="1" applyBorder="1" applyAlignment="1" applyProtection="1">
      <alignment horizontal="center"/>
      <protection locked="0"/>
    </xf>
    <xf numFmtId="164" fontId="90" fillId="0" borderId="23" xfId="2" applyNumberFormat="1" applyFont="1" applyFill="1" applyBorder="1" applyProtection="1">
      <protection locked="0"/>
    </xf>
    <xf numFmtId="0" fontId="90" fillId="0" borderId="23" xfId="2" applyFont="1" applyFill="1" applyBorder="1" applyAlignment="1" applyProtection="1">
      <alignment horizontal="center"/>
      <protection locked="0"/>
    </xf>
    <xf numFmtId="0" fontId="7" fillId="0" borderId="23" xfId="2" applyFont="1" applyBorder="1"/>
    <xf numFmtId="5" fontId="90" fillId="0" borderId="0" xfId="2" applyNumberFormat="1" applyFont="1" applyFill="1" applyBorder="1" applyAlignment="1" applyProtection="1">
      <alignment horizontal="right"/>
      <protection locked="0"/>
    </xf>
    <xf numFmtId="168" fontId="43" fillId="0" borderId="0" xfId="2" applyNumberFormat="1" applyFont="1" applyFill="1" applyAlignment="1" applyProtection="1">
      <alignment horizontal="right"/>
      <protection locked="0"/>
    </xf>
    <xf numFmtId="0" fontId="91" fillId="0" borderId="0" xfId="2" quotePrefix="1" applyNumberFormat="1" applyFont="1" applyFill="1" applyAlignment="1" applyProtection="1">
      <alignment horizontal="right"/>
      <protection locked="0"/>
    </xf>
    <xf numFmtId="0" fontId="89" fillId="0" borderId="15" xfId="0" applyFont="1" applyBorder="1" applyAlignment="1">
      <alignment horizontal="center"/>
    </xf>
    <xf numFmtId="0" fontId="90" fillId="0" borderId="15" xfId="2" applyFont="1" applyFill="1" applyBorder="1" applyAlignment="1" applyProtection="1">
      <alignment horizontal="center" wrapText="1"/>
      <protection locked="0"/>
    </xf>
    <xf numFmtId="0" fontId="7" fillId="0" borderId="15" xfId="2" applyFont="1" applyBorder="1" applyAlignment="1">
      <alignment horizontal="center"/>
    </xf>
    <xf numFmtId="0" fontId="43" fillId="0" borderId="15" xfId="2" applyFont="1" applyFill="1" applyBorder="1" applyAlignment="1" applyProtection="1">
      <alignment horizontal="center"/>
      <protection locked="0"/>
    </xf>
    <xf numFmtId="0" fontId="89" fillId="0" borderId="15" xfId="0" applyFont="1" applyBorder="1" applyAlignment="1">
      <alignment horizontal="center" wrapText="1"/>
    </xf>
    <xf numFmtId="164" fontId="0" fillId="0" borderId="0" xfId="1" applyNumberFormat="1" applyFont="1"/>
    <xf numFmtId="0" fontId="38" fillId="0" borderId="0" xfId="2" applyFont="1"/>
    <xf numFmtId="0" fontId="38" fillId="0" borderId="0" xfId="2" applyFont="1" applyFill="1" applyProtection="1">
      <protection locked="0"/>
    </xf>
    <xf numFmtId="0" fontId="95" fillId="0" borderId="0" xfId="0" applyFont="1"/>
    <xf numFmtId="10" fontId="7" fillId="60" borderId="0" xfId="3" quotePrefix="1" applyNumberFormat="1" applyFont="1" applyFill="1" applyAlignment="1">
      <alignment horizontal="center"/>
    </xf>
    <xf numFmtId="0" fontId="96" fillId="0" borderId="0" xfId="0" applyFont="1"/>
    <xf numFmtId="164" fontId="0" fillId="0" borderId="1" xfId="1" applyNumberFormat="1" applyFont="1" applyFill="1" applyBorder="1"/>
    <xf numFmtId="0" fontId="0" fillId="0" borderId="1" xfId="0" applyBorder="1"/>
    <xf numFmtId="0" fontId="0" fillId="0" borderId="1" xfId="0" applyBorder="1" applyAlignment="1">
      <alignment horizontal="center"/>
    </xf>
    <xf numFmtId="0" fontId="3" fillId="2" borderId="25" xfId="0" applyFont="1" applyFill="1" applyBorder="1" applyAlignment="1">
      <alignment horizontal="center"/>
    </xf>
    <xf numFmtId="0" fontId="3" fillId="2" borderId="24" xfId="0" applyFont="1" applyFill="1" applyBorder="1" applyAlignment="1">
      <alignment horizontal="center"/>
    </xf>
    <xf numFmtId="0" fontId="3" fillId="2" borderId="26" xfId="0" applyFont="1" applyFill="1" applyBorder="1" applyAlignment="1">
      <alignment horizontal="center"/>
    </xf>
    <xf numFmtId="0" fontId="8" fillId="60" borderId="0" xfId="2" applyFont="1" applyFill="1"/>
    <xf numFmtId="167" fontId="43" fillId="0" borderId="0" xfId="1122" applyFont="1" applyAlignment="1"/>
    <xf numFmtId="167" fontId="43" fillId="0" borderId="0" xfId="1122" applyFont="1" applyFill="1" applyAlignment="1"/>
    <xf numFmtId="167" fontId="76" fillId="0" borderId="0" xfId="1122" applyFont="1" applyAlignment="1"/>
    <xf numFmtId="167" fontId="76" fillId="0" borderId="0" xfId="1122" applyFont="1" applyFill="1" applyAlignment="1"/>
    <xf numFmtId="0" fontId="97" fillId="0" borderId="0" xfId="1123"/>
    <xf numFmtId="173" fontId="43" fillId="0" borderId="0" xfId="1122" applyNumberFormat="1" applyFont="1" applyFill="1"/>
    <xf numFmtId="0" fontId="43" fillId="0" borderId="0" xfId="1122" applyNumberFormat="1" applyFont="1" applyFill="1" applyAlignment="1">
      <alignment horizontal="center"/>
    </xf>
    <xf numFmtId="0" fontId="43" fillId="0" borderId="0" xfId="1122" applyNumberFormat="1" applyFont="1" applyFill="1"/>
    <xf numFmtId="0" fontId="76" fillId="0" borderId="0" xfId="1122" applyNumberFormat="1" applyFont="1" applyFill="1"/>
    <xf numFmtId="1" fontId="43" fillId="0" borderId="0" xfId="1122" applyNumberFormat="1" applyFont="1" applyFill="1"/>
    <xf numFmtId="0" fontId="43" fillId="0" borderId="0" xfId="1122" applyNumberFormat="1" applyFont="1" applyFill="1" applyAlignment="1" applyProtection="1">
      <alignment horizontal="center"/>
      <protection locked="0"/>
    </xf>
    <xf numFmtId="0" fontId="76" fillId="0" borderId="0" xfId="1122" applyNumberFormat="1" applyFont="1" applyFill="1" applyAlignment="1" applyProtection="1">
      <alignment horizontal="center"/>
      <protection locked="0"/>
    </xf>
    <xf numFmtId="0" fontId="97" fillId="0" borderId="0" xfId="1123" applyAlignment="1"/>
    <xf numFmtId="0" fontId="76" fillId="0" borderId="0" xfId="1122" applyNumberFormat="1" applyFont="1" applyFill="1" applyAlignment="1" applyProtection="1">
      <alignment horizontal="center" vertical="top"/>
      <protection locked="0"/>
    </xf>
    <xf numFmtId="174" fontId="43" fillId="0" borderId="0" xfId="1124" applyNumberFormat="1" applyFont="1" applyAlignment="1"/>
    <xf numFmtId="0" fontId="43" fillId="0" borderId="0" xfId="1122" applyNumberFormat="1" applyFont="1" applyFill="1" applyAlignment="1" applyProtection="1">
      <protection locked="0"/>
    </xf>
    <xf numFmtId="167" fontId="43" fillId="0" borderId="0" xfId="1122" applyFont="1" applyFill="1" applyAlignment="1" applyProtection="1">
      <protection locked="0"/>
    </xf>
    <xf numFmtId="167" fontId="76" fillId="0" borderId="0" xfId="1122" applyFont="1" applyFill="1" applyAlignment="1" applyProtection="1">
      <protection locked="0"/>
    </xf>
    <xf numFmtId="167" fontId="43" fillId="0" borderId="0" xfId="1122" applyFont="1" applyFill="1" applyAlignment="1" applyProtection="1">
      <alignment horizontal="center"/>
      <protection locked="0"/>
    </xf>
    <xf numFmtId="167" fontId="76" fillId="0" borderId="0" xfId="1122" applyFont="1" applyFill="1" applyAlignment="1" applyProtection="1">
      <alignment horizontal="center"/>
      <protection locked="0"/>
    </xf>
    <xf numFmtId="174" fontId="43" fillId="0" borderId="0" xfId="1124" applyNumberFormat="1" applyFont="1" applyFill="1" applyProtection="1">
      <protection locked="0"/>
    </xf>
    <xf numFmtId="0" fontId="43" fillId="0" borderId="0" xfId="1122" applyNumberFormat="1" applyFont="1" applyFill="1" applyProtection="1">
      <protection locked="0"/>
    </xf>
    <xf numFmtId="174" fontId="43" fillId="0" borderId="0" xfId="1124" applyNumberFormat="1" applyFont="1" applyFill="1" applyAlignment="1" applyProtection="1">
      <protection locked="0"/>
    </xf>
    <xf numFmtId="10" fontId="43" fillId="0" borderId="0" xfId="1122" applyNumberFormat="1" applyFont="1" applyFill="1" applyProtection="1">
      <protection locked="0"/>
    </xf>
    <xf numFmtId="167" fontId="43" fillId="0" borderId="0" xfId="1122" applyFont="1" applyAlignment="1">
      <alignment horizontal="center"/>
    </xf>
    <xf numFmtId="0" fontId="43" fillId="0" borderId="0" xfId="1123" applyFont="1" applyFill="1"/>
    <xf numFmtId="0" fontId="43" fillId="0" borderId="0" xfId="1123" applyFont="1"/>
    <xf numFmtId="3" fontId="43" fillId="0" borderId="0" xfId="1122" applyNumberFormat="1" applyFont="1" applyFill="1" applyAlignment="1" applyProtection="1">
      <protection locked="0"/>
    </xf>
    <xf numFmtId="0" fontId="43" fillId="0" borderId="0" xfId="1122" applyNumberFormat="1" applyFont="1" applyBorder="1" applyAlignment="1" applyProtection="1">
      <alignment horizontal="center"/>
      <protection locked="0"/>
    </xf>
    <xf numFmtId="0" fontId="43" fillId="0" borderId="0" xfId="1122" applyNumberFormat="1" applyFont="1" applyAlignment="1" applyProtection="1">
      <alignment horizontal="center"/>
      <protection locked="0"/>
    </xf>
    <xf numFmtId="0" fontId="76" fillId="0" borderId="0" xfId="1122" applyNumberFormat="1" applyFont="1" applyAlignment="1" applyProtection="1">
      <alignment horizontal="center"/>
      <protection locked="0"/>
    </xf>
    <xf numFmtId="0" fontId="43" fillId="0" borderId="0" xfId="1122" applyNumberFormat="1" applyFont="1" applyAlignment="1" applyProtection="1">
      <protection locked="0"/>
    </xf>
    <xf numFmtId="168" fontId="43" fillId="0" borderId="0" xfId="1122" applyNumberFormat="1" applyFont="1" applyProtection="1">
      <protection locked="0"/>
    </xf>
    <xf numFmtId="167" fontId="98" fillId="0" borderId="0" xfId="1122" applyFont="1" applyAlignment="1" applyProtection="1">
      <alignment horizontal="center"/>
      <protection locked="0"/>
    </xf>
    <xf numFmtId="0" fontId="43" fillId="0" borderId="0" xfId="1122" applyNumberFormat="1" applyFont="1" applyProtection="1">
      <protection locked="0"/>
    </xf>
    <xf numFmtId="3" fontId="43" fillId="0" borderId="0" xfId="1122" applyNumberFormat="1" applyFont="1" applyAlignment="1" applyProtection="1">
      <protection locked="0"/>
    </xf>
    <xf numFmtId="167" fontId="43" fillId="0" borderId="0" xfId="1122" applyFont="1" applyAlignment="1" applyProtection="1">
      <alignment horizontal="center"/>
      <protection locked="0"/>
    </xf>
    <xf numFmtId="0" fontId="38" fillId="0" borderId="0" xfId="1122" applyNumberFormat="1" applyFont="1" applyAlignment="1" applyProtection="1">
      <alignment horizontal="center"/>
      <protection locked="0"/>
    </xf>
    <xf numFmtId="167" fontId="43" fillId="0" borderId="0" xfId="1122" applyNumberFormat="1" applyFont="1" applyAlignment="1" applyProtection="1">
      <protection locked="0"/>
    </xf>
    <xf numFmtId="0" fontId="97" fillId="0" borderId="0" xfId="1123" applyFill="1"/>
    <xf numFmtId="14" fontId="38" fillId="0" borderId="0" xfId="1122" applyNumberFormat="1" applyFont="1" applyBorder="1" applyAlignment="1" applyProtection="1">
      <protection locked="0"/>
    </xf>
    <xf numFmtId="0" fontId="38" fillId="0" borderId="0" xfId="1122" applyNumberFormat="1" applyFont="1" applyBorder="1" applyAlignment="1" applyProtection="1">
      <alignment horizontal="left"/>
      <protection locked="0"/>
    </xf>
    <xf numFmtId="41" fontId="97" fillId="0" borderId="0" xfId="1123" applyNumberFormat="1" applyFill="1"/>
    <xf numFmtId="175" fontId="99" fillId="61" borderId="0" xfId="1125" applyNumberFormat="1" applyFont="1" applyFill="1"/>
    <xf numFmtId="0" fontId="43" fillId="0" borderId="0" xfId="1123" quotePrefix="1" applyFont="1" applyAlignment="1">
      <alignment horizontal="left"/>
    </xf>
    <xf numFmtId="0" fontId="76" fillId="0" borderId="0" xfId="1123" applyFont="1"/>
    <xf numFmtId="176" fontId="38" fillId="60" borderId="0" xfId="1122" applyNumberFormat="1" applyFont="1" applyFill="1" applyAlignment="1" applyProtection="1">
      <protection locked="0"/>
    </xf>
    <xf numFmtId="167" fontId="43" fillId="60" borderId="0" xfId="1122" applyFont="1" applyFill="1" applyAlignment="1"/>
    <xf numFmtId="176" fontId="38" fillId="0" borderId="0" xfId="1122" applyNumberFormat="1" applyFont="1" applyFill="1" applyAlignment="1" applyProtection="1">
      <protection locked="0"/>
    </xf>
    <xf numFmtId="3" fontId="38" fillId="0" borderId="0" xfId="1122" applyNumberFormat="1" applyFont="1" applyFill="1" applyAlignment="1" applyProtection="1">
      <alignment horizontal="right"/>
      <protection locked="0"/>
    </xf>
    <xf numFmtId="41" fontId="43" fillId="0" borderId="0" xfId="1122" applyNumberFormat="1" applyFont="1" applyFill="1" applyAlignment="1" applyProtection="1">
      <protection locked="0"/>
    </xf>
    <xf numFmtId="0" fontId="43" fillId="0" borderId="0" xfId="1122" applyNumberFormat="1" applyFont="1" applyFill="1" applyBorder="1" applyAlignment="1" applyProtection="1">
      <protection locked="0"/>
    </xf>
    <xf numFmtId="176" fontId="43" fillId="60" borderId="13" xfId="1122" applyNumberFormat="1" applyFont="1" applyFill="1" applyBorder="1" applyAlignment="1" applyProtection="1">
      <protection locked="0"/>
    </xf>
    <xf numFmtId="0" fontId="43" fillId="60" borderId="0" xfId="1122" applyNumberFormat="1" applyFont="1" applyFill="1" applyAlignment="1"/>
    <xf numFmtId="176" fontId="43" fillId="0" borderId="13" xfId="1122" applyNumberFormat="1" applyFont="1" applyFill="1" applyBorder="1" applyAlignment="1" applyProtection="1">
      <protection locked="0"/>
    </xf>
    <xf numFmtId="10" fontId="99" fillId="61" borderId="0" xfId="1125" applyNumberFormat="1" applyFont="1" applyFill="1" applyAlignment="1" applyProtection="1">
      <protection locked="0"/>
    </xf>
    <xf numFmtId="176" fontId="43" fillId="0" borderId="0" xfId="1122" applyNumberFormat="1" applyFont="1" applyFill="1" applyAlignment="1" applyProtection="1">
      <protection locked="0"/>
    </xf>
    <xf numFmtId="10" fontId="43" fillId="0" borderId="0" xfId="1125" applyNumberFormat="1" applyFont="1" applyAlignment="1"/>
    <xf numFmtId="10" fontId="43" fillId="0" borderId="0" xfId="1122" applyNumberFormat="1" applyFont="1" applyFill="1" applyAlignment="1" applyProtection="1">
      <protection locked="0"/>
    </xf>
    <xf numFmtId="41" fontId="43" fillId="0" borderId="13" xfId="1122" applyNumberFormat="1" applyFont="1" applyFill="1" applyBorder="1" applyAlignment="1" applyProtection="1">
      <protection locked="0"/>
    </xf>
    <xf numFmtId="176" fontId="43" fillId="60" borderId="0" xfId="1122" applyNumberFormat="1" applyFont="1" applyFill="1" applyBorder="1" applyAlignment="1" applyProtection="1">
      <protection locked="0"/>
    </xf>
    <xf numFmtId="176" fontId="43" fillId="0" borderId="0" xfId="1122" applyNumberFormat="1" applyFont="1" applyFill="1" applyBorder="1" applyAlignment="1" applyProtection="1">
      <protection locked="0"/>
    </xf>
    <xf numFmtId="10" fontId="43" fillId="0" borderId="0" xfId="1125" applyNumberFormat="1" applyFont="1" applyFill="1" applyAlignment="1" applyProtection="1">
      <protection locked="0"/>
    </xf>
    <xf numFmtId="41" fontId="99" fillId="61" borderId="0" xfId="1122" applyNumberFormat="1" applyFont="1" applyFill="1" applyAlignment="1" applyProtection="1">
      <protection locked="0"/>
    </xf>
    <xf numFmtId="0" fontId="43" fillId="0" borderId="0" xfId="1122" applyNumberFormat="1" applyFont="1" applyAlignment="1"/>
    <xf numFmtId="176" fontId="43" fillId="60" borderId="27" xfId="1122" applyNumberFormat="1" applyFont="1" applyFill="1" applyBorder="1" applyAlignment="1" applyProtection="1">
      <protection locked="0"/>
    </xf>
    <xf numFmtId="176" fontId="43" fillId="0" borderId="27" xfId="1122" applyNumberFormat="1" applyFont="1" applyFill="1" applyBorder="1" applyAlignment="1" applyProtection="1">
      <protection locked="0"/>
    </xf>
    <xf numFmtId="0" fontId="43" fillId="60" borderId="13" xfId="1122" applyNumberFormat="1" applyFont="1" applyFill="1" applyBorder="1" applyAlignment="1" applyProtection="1">
      <alignment horizontal="center"/>
      <protection locked="0"/>
    </xf>
    <xf numFmtId="0" fontId="43" fillId="0" borderId="13" xfId="1122" applyNumberFormat="1" applyFont="1" applyFill="1" applyBorder="1" applyAlignment="1" applyProtection="1">
      <alignment horizontal="center"/>
      <protection locked="0"/>
    </xf>
    <xf numFmtId="167" fontId="43" fillId="0" borderId="13" xfId="1122" applyFont="1" applyBorder="1" applyAlignment="1">
      <alignment horizontal="center"/>
    </xf>
    <xf numFmtId="3" fontId="43" fillId="60" borderId="0" xfId="1122" applyNumberFormat="1" applyFont="1" applyFill="1" applyAlignment="1" applyProtection="1">
      <protection locked="0"/>
    </xf>
    <xf numFmtId="3" fontId="43" fillId="0" borderId="0" xfId="1122" applyNumberFormat="1" applyFont="1" applyFill="1" applyAlignment="1" applyProtection="1">
      <alignment horizontal="center"/>
      <protection locked="0"/>
    </xf>
    <xf numFmtId="164" fontId="43" fillId="60" borderId="0" xfId="1124" applyNumberFormat="1" applyFont="1" applyFill="1" applyAlignment="1" applyProtection="1">
      <protection locked="0"/>
    </xf>
    <xf numFmtId="164" fontId="43" fillId="0" borderId="0" xfId="1124" applyNumberFormat="1" applyFont="1" applyFill="1" applyAlignment="1" applyProtection="1">
      <protection locked="0"/>
    </xf>
    <xf numFmtId="0" fontId="43" fillId="0" borderId="0" xfId="1122" applyNumberFormat="1" applyFont="1" applyFill="1" applyAlignment="1" applyProtection="1">
      <alignment horizontal="left"/>
      <protection locked="0"/>
    </xf>
    <xf numFmtId="164" fontId="99" fillId="60" borderId="13" xfId="1124" applyNumberFormat="1" applyFont="1" applyFill="1" applyBorder="1" applyAlignment="1"/>
    <xf numFmtId="164" fontId="99" fillId="61" borderId="13" xfId="1124" applyNumberFormat="1" applyFont="1" applyFill="1" applyBorder="1" applyAlignment="1"/>
    <xf numFmtId="164" fontId="99" fillId="60" borderId="0" xfId="1124" applyNumberFormat="1" applyFont="1" applyFill="1" applyAlignment="1"/>
    <xf numFmtId="164" fontId="99" fillId="61" borderId="0" xfId="1124" applyNumberFormat="1" applyFont="1" applyFill="1" applyAlignment="1"/>
    <xf numFmtId="41" fontId="43" fillId="60" borderId="13" xfId="1122" applyNumberFormat="1" applyFont="1" applyFill="1" applyBorder="1" applyAlignment="1" applyProtection="1">
      <alignment horizontal="center"/>
      <protection locked="0"/>
    </xf>
    <xf numFmtId="41" fontId="43" fillId="0" borderId="13" xfId="1122" applyNumberFormat="1" applyFont="1" applyFill="1" applyBorder="1" applyAlignment="1" applyProtection="1">
      <alignment horizontal="center"/>
      <protection locked="0"/>
    </xf>
    <xf numFmtId="0" fontId="102" fillId="0" borderId="0" xfId="1122" applyNumberFormat="1" applyFont="1" applyFill="1" applyBorder="1" applyAlignment="1" applyProtection="1">
      <alignment horizontal="left"/>
      <protection locked="0"/>
    </xf>
    <xf numFmtId="41" fontId="99" fillId="60" borderId="0" xfId="1122" applyNumberFormat="1" applyFont="1" applyFill="1" applyAlignment="1" applyProtection="1">
      <protection locked="0"/>
    </xf>
    <xf numFmtId="3" fontId="43" fillId="60" borderId="13" xfId="1122" applyNumberFormat="1" applyFont="1" applyFill="1" applyBorder="1" applyAlignment="1" applyProtection="1">
      <alignment horizontal="center"/>
      <protection locked="0"/>
    </xf>
    <xf numFmtId="3" fontId="43" fillId="0" borderId="13" xfId="1122" applyNumberFormat="1" applyFont="1" applyFill="1" applyBorder="1" applyAlignment="1" applyProtection="1">
      <alignment horizontal="center"/>
      <protection locked="0"/>
    </xf>
    <xf numFmtId="173" fontId="38" fillId="60" borderId="0" xfId="1122" applyNumberFormat="1" applyFont="1" applyFill="1" applyProtection="1">
      <protection locked="0"/>
    </xf>
    <xf numFmtId="173" fontId="38" fillId="0" borderId="0" xfId="1122" applyNumberFormat="1" applyFont="1" applyFill="1" applyProtection="1">
      <protection locked="0"/>
    </xf>
    <xf numFmtId="3" fontId="38" fillId="0" borderId="0" xfId="1122" applyNumberFormat="1" applyFont="1" applyAlignment="1" applyProtection="1">
      <protection locked="0"/>
    </xf>
    <xf numFmtId="167" fontId="43" fillId="0" borderId="0" xfId="1122" applyFont="1" applyAlignment="1" applyProtection="1">
      <protection locked="0"/>
    </xf>
    <xf numFmtId="3" fontId="103" fillId="0" borderId="0" xfId="1122" quotePrefix="1" applyNumberFormat="1" applyFont="1" applyAlignment="1" applyProtection="1">
      <alignment horizontal="left"/>
      <protection locked="0"/>
    </xf>
    <xf numFmtId="0" fontId="43" fillId="0" borderId="0" xfId="1122" applyNumberFormat="1" applyFont="1" applyFill="1" applyBorder="1" applyAlignment="1" applyProtection="1">
      <alignment horizontal="left"/>
      <protection locked="0"/>
    </xf>
    <xf numFmtId="0" fontId="98" fillId="0" borderId="0" xfId="1122" applyNumberFormat="1" applyFont="1" applyBorder="1" applyAlignment="1" applyProtection="1">
      <protection locked="0"/>
    </xf>
    <xf numFmtId="3" fontId="38" fillId="0" borderId="0" xfId="1122" applyNumberFormat="1" applyFont="1" applyFill="1" applyAlignment="1" applyProtection="1">
      <protection locked="0"/>
    </xf>
    <xf numFmtId="0" fontId="43" fillId="60" borderId="0" xfId="1123" applyFont="1" applyFill="1"/>
    <xf numFmtId="164" fontId="43" fillId="60" borderId="13" xfId="1124" applyNumberFormat="1" applyFont="1" applyFill="1" applyBorder="1" applyAlignment="1"/>
    <xf numFmtId="164" fontId="43" fillId="0" borderId="13" xfId="1124" applyNumberFormat="1" applyFont="1" applyBorder="1" applyAlignment="1"/>
    <xf numFmtId="164" fontId="43" fillId="60" borderId="0" xfId="1124" applyNumberFormat="1" applyFont="1" applyFill="1" applyAlignment="1"/>
    <xf numFmtId="164" fontId="43" fillId="0" borderId="0" xfId="1124" applyNumberFormat="1" applyFont="1" applyAlignment="1"/>
    <xf numFmtId="41" fontId="104" fillId="60" borderId="0" xfId="1122" applyNumberFormat="1" applyFont="1" applyFill="1" applyAlignment="1" applyProtection="1">
      <protection locked="0"/>
    </xf>
    <xf numFmtId="41" fontId="104" fillId="0" borderId="0" xfId="1122" applyNumberFormat="1" applyFont="1" applyFill="1" applyAlignment="1" applyProtection="1">
      <protection locked="0"/>
    </xf>
    <xf numFmtId="3" fontId="43" fillId="0" borderId="0" xfId="1122" applyNumberFormat="1" applyFont="1" applyAlignment="1" applyProtection="1">
      <alignment horizontal="center"/>
      <protection locked="0"/>
    </xf>
    <xf numFmtId="0" fontId="43" fillId="0" borderId="0" xfId="1122" applyNumberFormat="1" applyFont="1" applyBorder="1" applyAlignment="1" applyProtection="1">
      <protection locked="0"/>
    </xf>
    <xf numFmtId="177" fontId="38" fillId="60" borderId="0" xfId="1122" applyNumberFormat="1" applyFont="1" applyFill="1" applyAlignment="1"/>
    <xf numFmtId="177" fontId="38" fillId="0" borderId="0" xfId="1122" applyNumberFormat="1" applyFont="1" applyAlignment="1"/>
    <xf numFmtId="167" fontId="38" fillId="0" borderId="0" xfId="1122" applyFont="1" applyAlignment="1">
      <alignment horizontal="right"/>
    </xf>
    <xf numFmtId="41" fontId="43" fillId="60" borderId="0" xfId="1122" applyNumberFormat="1" applyFont="1" applyFill="1" applyAlignment="1" applyProtection="1">
      <protection locked="0"/>
    </xf>
    <xf numFmtId="41" fontId="43" fillId="0" borderId="0" xfId="1122" applyNumberFormat="1" applyFont="1" applyAlignment="1" applyProtection="1">
      <protection locked="0"/>
    </xf>
    <xf numFmtId="41" fontId="43" fillId="60" borderId="13" xfId="1122" applyNumberFormat="1" applyFont="1" applyFill="1" applyBorder="1" applyAlignment="1" applyProtection="1">
      <protection locked="0"/>
    </xf>
    <xf numFmtId="41" fontId="43" fillId="0" borderId="13" xfId="1122" applyNumberFormat="1" applyFont="1" applyBorder="1" applyAlignment="1" applyProtection="1">
      <protection locked="0"/>
    </xf>
    <xf numFmtId="4" fontId="43" fillId="0" borderId="0" xfId="1122" applyNumberFormat="1" applyFont="1" applyAlignment="1" applyProtection="1">
      <protection locked="0"/>
    </xf>
    <xf numFmtId="177" fontId="43" fillId="0" borderId="0" xfId="1122" applyNumberFormat="1" applyFont="1" applyFill="1" applyAlignment="1" applyProtection="1">
      <alignment horizontal="right"/>
      <protection locked="0"/>
    </xf>
    <xf numFmtId="164" fontId="43" fillId="0" borderId="13" xfId="1124" applyNumberFormat="1" applyFont="1" applyFill="1" applyBorder="1" applyAlignment="1"/>
    <xf numFmtId="3" fontId="43" fillId="0" borderId="13" xfId="1122" applyNumberFormat="1" applyFont="1" applyFill="1" applyBorder="1" applyAlignment="1" applyProtection="1">
      <protection locked="0"/>
    </xf>
    <xf numFmtId="0" fontId="42" fillId="0" borderId="0" xfId="1122" applyNumberFormat="1" applyFont="1" applyBorder="1" applyAlignment="1" applyProtection="1">
      <protection locked="0"/>
    </xf>
    <xf numFmtId="164" fontId="43" fillId="0" borderId="0" xfId="1124" applyNumberFormat="1" applyFont="1" applyFill="1" applyAlignment="1"/>
    <xf numFmtId="167" fontId="43" fillId="0" borderId="0" xfId="1122" applyFont="1" applyFill="1" applyAlignment="1">
      <alignment horizontal="center"/>
    </xf>
    <xf numFmtId="3" fontId="43" fillId="0" borderId="0" xfId="1122" applyNumberFormat="1" applyFont="1" applyFill="1" applyAlignment="1" applyProtection="1">
      <alignment horizontal="center" wrapText="1"/>
      <protection locked="0"/>
    </xf>
    <xf numFmtId="0" fontId="43" fillId="60" borderId="0" xfId="1122" applyNumberFormat="1" applyFont="1" applyFill="1" applyProtection="1">
      <protection locked="0"/>
    </xf>
    <xf numFmtId="3" fontId="43" fillId="0" borderId="0" xfId="1122" applyNumberFormat="1" applyFont="1" applyFill="1" applyProtection="1">
      <protection locked="0"/>
    </xf>
    <xf numFmtId="0" fontId="38" fillId="0" borderId="0" xfId="1122" applyNumberFormat="1" applyFont="1" applyFill="1" applyAlignment="1" applyProtection="1">
      <protection locked="0"/>
    </xf>
    <xf numFmtId="177" fontId="38" fillId="60" borderId="0" xfId="1122" applyNumberFormat="1" applyFont="1" applyFill="1" applyBorder="1" applyAlignment="1" applyProtection="1">
      <alignment horizontal="right"/>
      <protection locked="0"/>
    </xf>
    <xf numFmtId="177" fontId="38" fillId="0" borderId="0" xfId="1122" applyNumberFormat="1" applyFont="1" applyFill="1" applyBorder="1" applyAlignment="1" applyProtection="1">
      <alignment horizontal="right"/>
      <protection locked="0"/>
    </xf>
    <xf numFmtId="3" fontId="38" fillId="0" borderId="0" xfId="1122" applyNumberFormat="1" applyFont="1" applyFill="1" applyBorder="1" applyAlignment="1" applyProtection="1">
      <protection locked="0"/>
    </xf>
    <xf numFmtId="49" fontId="43" fillId="0" borderId="0" xfId="1122" applyNumberFormat="1" applyFont="1" applyFill="1" applyBorder="1" applyAlignment="1" applyProtection="1">
      <alignment horizontal="center"/>
      <protection locked="0"/>
    </xf>
    <xf numFmtId="49" fontId="43" fillId="0" borderId="0" xfId="1122" applyNumberFormat="1" applyFont="1" applyFill="1" applyBorder="1" applyAlignment="1" applyProtection="1">
      <protection locked="0"/>
    </xf>
    <xf numFmtId="49" fontId="43" fillId="0" borderId="0" xfId="1122" applyNumberFormat="1" applyFont="1" applyFill="1" applyBorder="1" applyProtection="1">
      <protection locked="0"/>
    </xf>
    <xf numFmtId="0" fontId="43" fillId="0" borderId="0" xfId="1122" applyNumberFormat="1" applyFont="1" applyFill="1" applyBorder="1" applyAlignment="1" applyProtection="1">
      <alignment horizontal="center"/>
      <protection locked="0"/>
    </xf>
    <xf numFmtId="167" fontId="43" fillId="60" borderId="0" xfId="1122" applyFont="1" applyFill="1" applyBorder="1" applyAlignment="1" applyProtection="1">
      <protection locked="0"/>
    </xf>
    <xf numFmtId="167" fontId="43" fillId="0" borderId="0" xfId="1122" applyFont="1" applyFill="1" applyBorder="1" applyAlignment="1" applyProtection="1">
      <protection locked="0"/>
    </xf>
    <xf numFmtId="3" fontId="43" fillId="0" borderId="0" xfId="1122" applyNumberFormat="1" applyFont="1" applyFill="1" applyBorder="1" applyAlignment="1" applyProtection="1">
      <protection locked="0"/>
    </xf>
    <xf numFmtId="3" fontId="43" fillId="0" borderId="0" xfId="1122" applyNumberFormat="1" applyFont="1" applyFill="1" applyBorder="1" applyAlignment="1" applyProtection="1">
      <alignment horizontal="center"/>
      <protection locked="0"/>
    </xf>
    <xf numFmtId="0" fontId="43" fillId="0" borderId="0" xfId="1122" applyNumberFormat="1" applyFont="1" applyFill="1" applyBorder="1" applyProtection="1">
      <protection locked="0"/>
    </xf>
    <xf numFmtId="41" fontId="43" fillId="60" borderId="0" xfId="1122" applyNumberFormat="1" applyFont="1" applyFill="1" applyBorder="1" applyAlignment="1" applyProtection="1">
      <protection locked="0"/>
    </xf>
    <xf numFmtId="41" fontId="43" fillId="0" borderId="0" xfId="1122" applyNumberFormat="1" applyFont="1" applyFill="1" applyBorder="1" applyAlignment="1" applyProtection="1">
      <protection locked="0"/>
    </xf>
    <xf numFmtId="3" fontId="43" fillId="0" borderId="0" xfId="1122" applyNumberFormat="1" applyFont="1" applyFill="1" applyBorder="1" applyAlignment="1" applyProtection="1">
      <alignment horizontal="left"/>
      <protection locked="0"/>
    </xf>
    <xf numFmtId="164" fontId="99" fillId="62" borderId="0" xfId="1124" applyNumberFormat="1" applyFont="1" applyFill="1" applyAlignment="1"/>
    <xf numFmtId="167" fontId="43" fillId="0" borderId="0" xfId="1122" applyFont="1" applyFill="1" applyBorder="1" applyAlignment="1" applyProtection="1">
      <alignment horizontal="center"/>
      <protection locked="0"/>
    </xf>
    <xf numFmtId="0" fontId="43" fillId="0" borderId="0" xfId="1123" applyFont="1" applyFill="1" applyAlignment="1">
      <alignment horizontal="left"/>
    </xf>
    <xf numFmtId="167" fontId="43" fillId="60" borderId="0" xfId="1122" applyFont="1" applyFill="1" applyAlignment="1" applyProtection="1">
      <protection locked="0"/>
    </xf>
    <xf numFmtId="0" fontId="76" fillId="0" borderId="13" xfId="1122" applyNumberFormat="1" applyFont="1" applyBorder="1" applyAlignment="1" applyProtection="1">
      <alignment horizontal="center"/>
      <protection locked="0"/>
    </xf>
    <xf numFmtId="0" fontId="38" fillId="0" borderId="0" xfId="1122" applyNumberFormat="1" applyFont="1" applyAlignment="1" applyProtection="1">
      <protection locked="0"/>
    </xf>
    <xf numFmtId="0" fontId="43" fillId="60" borderId="0" xfId="1122" applyNumberFormat="1" applyFont="1" applyFill="1" applyAlignment="1" applyProtection="1">
      <protection locked="0"/>
    </xf>
    <xf numFmtId="164" fontId="43" fillId="60" borderId="28" xfId="1124" applyNumberFormat="1" applyFont="1" applyFill="1" applyBorder="1" applyAlignment="1" applyProtection="1">
      <protection locked="0"/>
    </xf>
    <xf numFmtId="164" fontId="43" fillId="0" borderId="28" xfId="1124" applyNumberFormat="1" applyFont="1" applyBorder="1" applyAlignment="1" applyProtection="1">
      <protection locked="0"/>
    </xf>
    <xf numFmtId="174" fontId="43" fillId="0" borderId="0" xfId="1124" applyNumberFormat="1" applyFont="1" applyAlignment="1" applyProtection="1">
      <protection locked="0"/>
    </xf>
    <xf numFmtId="167" fontId="38" fillId="0" borderId="0" xfId="1122" applyFont="1" applyFill="1" applyAlignment="1" applyProtection="1">
      <protection locked="0"/>
    </xf>
    <xf numFmtId="174" fontId="38" fillId="0" borderId="0" xfId="1124" applyNumberFormat="1" applyFont="1" applyFill="1" applyAlignment="1" applyProtection="1">
      <protection locked="0"/>
    </xf>
    <xf numFmtId="3" fontId="43" fillId="0" borderId="0" xfId="1122" applyNumberFormat="1" applyFont="1" applyAlignment="1" applyProtection="1">
      <alignment horizontal="right"/>
      <protection locked="0"/>
    </xf>
    <xf numFmtId="41" fontId="43" fillId="0" borderId="0" xfId="1122" applyNumberFormat="1" applyFont="1" applyBorder="1" applyAlignment="1" applyProtection="1">
      <protection locked="0"/>
    </xf>
    <xf numFmtId="41" fontId="43" fillId="60" borderId="29" xfId="1122" applyNumberFormat="1" applyFont="1" applyFill="1" applyBorder="1" applyAlignment="1" applyProtection="1">
      <protection locked="0"/>
    </xf>
    <xf numFmtId="41" fontId="43" fillId="0" borderId="29" xfId="1122" applyNumberFormat="1" applyFont="1" applyBorder="1" applyAlignment="1" applyProtection="1">
      <protection locked="0"/>
    </xf>
    <xf numFmtId="41" fontId="43" fillId="0" borderId="0" xfId="1122" applyNumberFormat="1" applyFont="1" applyAlignment="1" applyProtection="1">
      <alignment horizontal="center"/>
      <protection locked="0"/>
    </xf>
    <xf numFmtId="178" fontId="43" fillId="0" borderId="0" xfId="1122" applyNumberFormat="1" applyFont="1" applyAlignment="1" applyProtection="1">
      <protection locked="0"/>
    </xf>
    <xf numFmtId="41" fontId="43" fillId="0" borderId="0" xfId="1122" applyNumberFormat="1" applyFont="1" applyAlignment="1" applyProtection="1">
      <alignment vertical="center"/>
      <protection locked="0"/>
    </xf>
    <xf numFmtId="41" fontId="43" fillId="0" borderId="0" xfId="1122" applyNumberFormat="1" applyFont="1" applyAlignment="1" applyProtection="1">
      <alignment horizontal="center" vertical="center"/>
      <protection locked="0"/>
    </xf>
    <xf numFmtId="3" fontId="43" fillId="0" borderId="0" xfId="1122" applyNumberFormat="1" applyFont="1" applyAlignment="1" applyProtection="1">
      <alignment vertical="center" wrapText="1"/>
      <protection locked="0"/>
    </xf>
    <xf numFmtId="170" fontId="43" fillId="0" borderId="0" xfId="1122" applyNumberFormat="1" applyFont="1" applyFill="1" applyBorder="1" applyAlignment="1" applyProtection="1">
      <alignment horizontal="left" vertical="center"/>
      <protection locked="0"/>
    </xf>
    <xf numFmtId="170" fontId="43" fillId="0" borderId="0" xfId="1122" applyNumberFormat="1" applyFont="1" applyBorder="1" applyAlignment="1" applyProtection="1">
      <alignment horizontal="left"/>
      <protection locked="0"/>
    </xf>
    <xf numFmtId="164" fontId="43" fillId="60" borderId="0" xfId="1122" applyNumberFormat="1" applyFont="1" applyFill="1" applyAlignment="1" applyProtection="1">
      <protection locked="0"/>
    </xf>
    <xf numFmtId="167" fontId="100" fillId="60" borderId="0" xfId="1122" applyFont="1" applyFill="1" applyAlignment="1"/>
    <xf numFmtId="164" fontId="43" fillId="0" borderId="0" xfId="1122" applyNumberFormat="1" applyFont="1" applyAlignment="1" applyProtection="1">
      <protection locked="0"/>
    </xf>
    <xf numFmtId="41" fontId="100" fillId="0" borderId="0" xfId="1122" applyNumberFormat="1" applyFont="1" applyAlignment="1" applyProtection="1">
      <protection locked="0"/>
    </xf>
    <xf numFmtId="43" fontId="43" fillId="0" borderId="0" xfId="1122" applyNumberFormat="1" applyFont="1" applyFill="1" applyAlignment="1" applyProtection="1">
      <protection locked="0"/>
    </xf>
    <xf numFmtId="170" fontId="43" fillId="0" borderId="0" xfId="1122" applyNumberFormat="1" applyFont="1" applyAlignment="1" applyProtection="1">
      <alignment horizontal="center"/>
      <protection locked="0"/>
    </xf>
    <xf numFmtId="170" fontId="43" fillId="0" borderId="0" xfId="1122" applyNumberFormat="1" applyFont="1" applyFill="1" applyBorder="1" applyAlignment="1" applyProtection="1">
      <alignment horizontal="left"/>
      <protection locked="0"/>
    </xf>
    <xf numFmtId="3" fontId="43" fillId="60" borderId="0" xfId="1122" applyNumberFormat="1" applyFont="1" applyFill="1" applyAlignment="1"/>
    <xf numFmtId="173" fontId="43" fillId="0" borderId="0" xfId="1122" applyNumberFormat="1" applyFont="1" applyAlignment="1" applyProtection="1">
      <protection locked="0"/>
    </xf>
    <xf numFmtId="41" fontId="43" fillId="60" borderId="0" xfId="1122" applyNumberFormat="1" applyFont="1" applyFill="1" applyAlignment="1" applyProtection="1">
      <alignment horizontal="right"/>
      <protection locked="0"/>
    </xf>
    <xf numFmtId="41" fontId="43" fillId="0" borderId="0" xfId="1122" applyNumberFormat="1" applyFont="1" applyFill="1" applyAlignment="1" applyProtection="1">
      <alignment horizontal="right"/>
      <protection locked="0"/>
    </xf>
    <xf numFmtId="179" fontId="100" fillId="0" borderId="0" xfId="1122" applyNumberFormat="1" applyFont="1" applyAlignment="1" applyProtection="1">
      <protection locked="0"/>
    </xf>
    <xf numFmtId="10" fontId="43" fillId="0" borderId="0" xfId="1122" applyNumberFormat="1" applyFont="1" applyFill="1" applyAlignment="1" applyProtection="1">
      <alignment horizontal="left"/>
      <protection locked="0"/>
    </xf>
    <xf numFmtId="41" fontId="43" fillId="0" borderId="0" xfId="1122" applyNumberFormat="1" applyFont="1" applyAlignment="1" applyProtection="1">
      <alignment horizontal="right"/>
      <protection locked="0"/>
    </xf>
    <xf numFmtId="167" fontId="43" fillId="0" borderId="0" xfId="1122" applyFont="1" applyBorder="1" applyAlignment="1" applyProtection="1">
      <protection locked="0"/>
    </xf>
    <xf numFmtId="180" fontId="100" fillId="0" borderId="0" xfId="1122" applyNumberFormat="1" applyFont="1" applyAlignment="1" applyProtection="1">
      <alignment horizontal="center"/>
      <protection locked="0"/>
    </xf>
    <xf numFmtId="41" fontId="100" fillId="0" borderId="0" xfId="1122" applyNumberFormat="1" applyFont="1" applyAlignment="1" applyProtection="1">
      <alignment horizontal="center"/>
      <protection locked="0"/>
    </xf>
    <xf numFmtId="181" fontId="43" fillId="0" borderId="0" xfId="1122" applyNumberFormat="1" applyFont="1" applyFill="1" applyAlignment="1" applyProtection="1">
      <alignment horizontal="left"/>
      <protection locked="0"/>
    </xf>
    <xf numFmtId="167" fontId="100" fillId="60" borderId="0" xfId="1122" applyFont="1" applyFill="1" applyAlignment="1" applyProtection="1">
      <protection locked="0"/>
    </xf>
    <xf numFmtId="167" fontId="100" fillId="0" borderId="0" xfId="1122" applyFont="1" applyAlignment="1" applyProtection="1">
      <protection locked="0"/>
    </xf>
    <xf numFmtId="181" fontId="43" fillId="0" borderId="0" xfId="1122" applyNumberFormat="1" applyFont="1" applyAlignment="1" applyProtection="1">
      <protection locked="0"/>
    </xf>
    <xf numFmtId="3" fontId="99" fillId="0" borderId="0" xfId="1122" applyNumberFormat="1" applyFont="1" applyAlignment="1" applyProtection="1">
      <protection locked="0"/>
    </xf>
    <xf numFmtId="167" fontId="100" fillId="0" borderId="0" xfId="1122" applyFont="1" applyAlignment="1"/>
    <xf numFmtId="179" fontId="100" fillId="0" borderId="0" xfId="1122" applyNumberFormat="1" applyFont="1" applyAlignment="1" applyProtection="1">
      <alignment horizontal="center"/>
      <protection locked="0"/>
    </xf>
    <xf numFmtId="182" fontId="100" fillId="0" borderId="0" xfId="1122" applyNumberFormat="1" applyFont="1" applyAlignment="1" applyProtection="1">
      <protection locked="0"/>
    </xf>
    <xf numFmtId="177" fontId="43" fillId="0" borderId="0" xfId="1122" applyNumberFormat="1" applyFont="1" applyAlignment="1" applyProtection="1">
      <protection locked="0"/>
    </xf>
    <xf numFmtId="43" fontId="100" fillId="60" borderId="0" xfId="1124" applyFont="1" applyFill="1" applyAlignment="1" applyProtection="1">
      <protection locked="0"/>
    </xf>
    <xf numFmtId="43" fontId="100" fillId="0" borderId="0" xfId="1124" applyFont="1" applyAlignment="1" applyProtection="1">
      <protection locked="0"/>
    </xf>
    <xf numFmtId="183" fontId="100" fillId="0" borderId="0" xfId="1124" applyNumberFormat="1" applyFont="1" applyAlignment="1" applyProtection="1">
      <alignment horizontal="center"/>
      <protection locked="0"/>
    </xf>
    <xf numFmtId="179" fontId="43" fillId="0" borderId="0" xfId="1122" applyNumberFormat="1" applyFont="1" applyFill="1" applyAlignment="1" applyProtection="1">
      <alignment horizontal="right"/>
      <protection locked="0"/>
    </xf>
    <xf numFmtId="182" fontId="99" fillId="0" borderId="0" xfId="1122" applyNumberFormat="1" applyFont="1" applyAlignment="1" applyProtection="1">
      <protection locked="0"/>
    </xf>
    <xf numFmtId="3" fontId="100" fillId="0" borderId="0" xfId="1122" applyNumberFormat="1" applyFont="1" applyAlignment="1" applyProtection="1">
      <protection locked="0"/>
    </xf>
    <xf numFmtId="173" fontId="100" fillId="0" borderId="0" xfId="1122" applyNumberFormat="1" applyFont="1" applyAlignment="1" applyProtection="1">
      <alignment horizontal="center"/>
      <protection locked="0"/>
    </xf>
    <xf numFmtId="167" fontId="100" fillId="0" borderId="0" xfId="1122" applyFont="1" applyAlignment="1" applyProtection="1">
      <alignment horizontal="center"/>
      <protection locked="0"/>
    </xf>
    <xf numFmtId="181" fontId="100" fillId="0" borderId="0" xfId="1122" applyNumberFormat="1" applyFont="1" applyAlignment="1" applyProtection="1">
      <protection locked="0"/>
    </xf>
    <xf numFmtId="184" fontId="99" fillId="0" borderId="0" xfId="1122" applyNumberFormat="1" applyFont="1" applyAlignment="1" applyProtection="1">
      <protection locked="0"/>
    </xf>
    <xf numFmtId="180" fontId="100" fillId="60" borderId="0" xfId="1122" applyNumberFormat="1" applyFont="1" applyFill="1" applyAlignment="1" applyProtection="1">
      <alignment horizontal="center"/>
      <protection locked="0"/>
    </xf>
    <xf numFmtId="182" fontId="100" fillId="0" borderId="0" xfId="1122" applyNumberFormat="1" applyFont="1" applyFill="1" applyAlignment="1" applyProtection="1">
      <protection locked="0"/>
    </xf>
    <xf numFmtId="3" fontId="100" fillId="0" borderId="0" xfId="1122" applyNumberFormat="1" applyFont="1" applyFill="1" applyAlignment="1" applyProtection="1">
      <protection locked="0"/>
    </xf>
    <xf numFmtId="10" fontId="97" fillId="0" borderId="0" xfId="1123" applyNumberFormat="1"/>
    <xf numFmtId="10" fontId="43" fillId="0" borderId="0" xfId="1122" applyNumberFormat="1" applyFont="1" applyFill="1" applyAlignment="1" applyProtection="1">
      <alignment horizontal="right"/>
      <protection locked="0"/>
    </xf>
    <xf numFmtId="3" fontId="43" fillId="0" borderId="0" xfId="1122" applyNumberFormat="1" applyFont="1" applyAlignment="1" applyProtection="1">
      <alignment horizontal="left"/>
      <protection locked="0"/>
    </xf>
    <xf numFmtId="0" fontId="5" fillId="0" borderId="0" xfId="1123" applyFont="1" applyFill="1"/>
    <xf numFmtId="3" fontId="43" fillId="0" borderId="0" xfId="1122" applyNumberFormat="1" applyFont="1" applyFill="1" applyAlignment="1" applyProtection="1">
      <alignment horizontal="left"/>
      <protection locked="0"/>
    </xf>
    <xf numFmtId="3" fontId="43" fillId="0" borderId="0" xfId="1122" applyNumberFormat="1" applyFont="1" applyFill="1" applyAlignment="1" applyProtection="1">
      <alignment vertical="center" wrapText="1"/>
      <protection locked="0"/>
    </xf>
    <xf numFmtId="0" fontId="43" fillId="0" borderId="0" xfId="1122" applyNumberFormat="1" applyFont="1" applyFill="1" applyBorder="1" applyAlignment="1" applyProtection="1">
      <alignment vertical="center"/>
      <protection locked="0"/>
    </xf>
    <xf numFmtId="41" fontId="43" fillId="60" borderId="0" xfId="1122" applyNumberFormat="1" applyFont="1" applyFill="1" applyAlignment="1" applyProtection="1">
      <alignment vertical="center"/>
      <protection locked="0"/>
    </xf>
    <xf numFmtId="41" fontId="43" fillId="0" borderId="0" xfId="1122" applyNumberFormat="1" applyFont="1" applyFill="1" applyAlignment="1" applyProtection="1">
      <alignment vertical="center"/>
      <protection locked="0"/>
    </xf>
    <xf numFmtId="3" fontId="43" fillId="0" borderId="0" xfId="1122" applyNumberFormat="1" applyFont="1" applyFill="1" applyAlignment="1" applyProtection="1">
      <alignment vertical="center"/>
      <protection locked="0"/>
    </xf>
    <xf numFmtId="3" fontId="43" fillId="0" borderId="0" xfId="1122" applyNumberFormat="1" applyFont="1" applyFill="1" applyAlignment="1" applyProtection="1">
      <alignment horizontal="center" vertical="center"/>
      <protection locked="0"/>
    </xf>
    <xf numFmtId="177" fontId="43" fillId="0" borderId="0" xfId="1122" applyNumberFormat="1" applyFont="1" applyFill="1" applyBorder="1" applyAlignment="1" applyProtection="1">
      <protection locked="0"/>
    </xf>
    <xf numFmtId="177" fontId="43" fillId="0" borderId="0" xfId="1122" applyNumberFormat="1" applyFont="1" applyFill="1" applyAlignment="1" applyProtection="1">
      <protection locked="0"/>
    </xf>
    <xf numFmtId="0" fontId="43" fillId="0" borderId="0" xfId="1122" quotePrefix="1" applyNumberFormat="1" applyFont="1" applyFill="1" applyAlignment="1" applyProtection="1">
      <alignment horizontal="left"/>
      <protection locked="0"/>
    </xf>
    <xf numFmtId="41" fontId="43" fillId="0" borderId="0" xfId="1122" applyNumberFormat="1" applyFont="1" applyFill="1" applyAlignment="1" applyProtection="1">
      <alignment horizontal="center"/>
      <protection locked="0"/>
    </xf>
    <xf numFmtId="43" fontId="5" fillId="0" borderId="0" xfId="1124" applyNumberFormat="1" applyFont="1" applyAlignment="1" applyProtection="1">
      <protection locked="0"/>
    </xf>
    <xf numFmtId="0" fontId="97" fillId="60" borderId="0" xfId="1123" applyFill="1"/>
    <xf numFmtId="0" fontId="97" fillId="0" borderId="0" xfId="1123" applyBorder="1"/>
    <xf numFmtId="0" fontId="76" fillId="0" borderId="0" xfId="1122" applyNumberFormat="1" applyFont="1" applyBorder="1" applyAlignment="1" applyProtection="1">
      <alignment horizontal="center"/>
      <protection locked="0"/>
    </xf>
    <xf numFmtId="5" fontId="43" fillId="0" borderId="13" xfId="1122" applyNumberFormat="1" applyFont="1" applyFill="1" applyBorder="1" applyAlignment="1" applyProtection="1">
      <protection locked="0"/>
    </xf>
    <xf numFmtId="0" fontId="98" fillId="60" borderId="0" xfId="1122" applyNumberFormat="1" applyFont="1" applyFill="1" applyAlignment="1" applyProtection="1">
      <alignment horizontal="center"/>
      <protection locked="0"/>
    </xf>
    <xf numFmtId="0" fontId="98" fillId="0" borderId="0" xfId="1122" applyNumberFormat="1" applyFont="1" applyAlignment="1" applyProtection="1">
      <alignment horizontal="center"/>
      <protection locked="0"/>
    </xf>
    <xf numFmtId="3" fontId="98" fillId="0" borderId="0" xfId="1122" applyNumberFormat="1" applyFont="1" applyAlignment="1" applyProtection="1">
      <protection locked="0"/>
    </xf>
    <xf numFmtId="3" fontId="98" fillId="0" borderId="0" xfId="1122" applyNumberFormat="1" applyFont="1" applyFill="1" applyAlignment="1" applyProtection="1">
      <protection locked="0"/>
    </xf>
    <xf numFmtId="167" fontId="76" fillId="0" borderId="0" xfId="1122" applyFont="1" applyAlignment="1" applyProtection="1">
      <alignment horizontal="center"/>
      <protection locked="0"/>
    </xf>
    <xf numFmtId="3" fontId="98" fillId="60" borderId="0" xfId="1122" applyNumberFormat="1" applyFont="1" applyFill="1" applyAlignment="1" applyProtection="1">
      <alignment horizontal="center"/>
      <protection locked="0"/>
    </xf>
    <xf numFmtId="167" fontId="38" fillId="60" borderId="0" xfId="1122" applyFont="1" applyFill="1" applyAlignment="1"/>
    <xf numFmtId="3" fontId="98" fillId="0" borderId="0" xfId="1122" applyNumberFormat="1" applyFont="1" applyAlignment="1" applyProtection="1">
      <alignment horizontal="center"/>
      <protection locked="0"/>
    </xf>
    <xf numFmtId="3" fontId="38" fillId="60" borderId="0" xfId="1122" applyNumberFormat="1" applyFont="1" applyFill="1" applyAlignment="1" applyProtection="1">
      <alignment horizontal="center"/>
      <protection locked="0"/>
    </xf>
    <xf numFmtId="3" fontId="38" fillId="0" borderId="0" xfId="1122" applyNumberFormat="1" applyFont="1" applyAlignment="1" applyProtection="1">
      <alignment horizontal="center"/>
      <protection locked="0"/>
    </xf>
    <xf numFmtId="167" fontId="38" fillId="0" borderId="0" xfId="1122" applyFont="1" applyAlignment="1" applyProtection="1">
      <alignment horizontal="center"/>
      <protection locked="0"/>
    </xf>
    <xf numFmtId="0" fontId="76" fillId="0" borderId="0" xfId="1122" applyNumberFormat="1" applyFont="1" applyAlignment="1" applyProtection="1">
      <alignment horizontal="center" vertical="center"/>
      <protection locked="0"/>
    </xf>
    <xf numFmtId="49" fontId="43" fillId="0" borderId="0" xfId="1122" applyNumberFormat="1" applyFont="1" applyAlignment="1" applyProtection="1">
      <alignment horizontal="left"/>
      <protection locked="0"/>
    </xf>
    <xf numFmtId="49" fontId="43" fillId="60" borderId="0" xfId="1122" applyNumberFormat="1" applyFont="1" applyFill="1" applyAlignment="1" applyProtection="1">
      <alignment horizontal="center"/>
      <protection locked="0"/>
    </xf>
    <xf numFmtId="49" fontId="43" fillId="0" borderId="0" xfId="1122" applyNumberFormat="1" applyFont="1" applyAlignment="1" applyProtection="1">
      <alignment horizontal="center"/>
      <protection locked="0"/>
    </xf>
    <xf numFmtId="167" fontId="76" fillId="0" borderId="0" xfId="1122" applyFont="1" applyAlignment="1" applyProtection="1">
      <protection locked="0"/>
    </xf>
    <xf numFmtId="0" fontId="5" fillId="0" borderId="0" xfId="1123" applyFont="1"/>
    <xf numFmtId="0" fontId="43" fillId="0" borderId="0" xfId="1122" applyNumberFormat="1" applyFont="1" applyAlignment="1" applyProtection="1">
      <alignment horizontal="center" vertical="center"/>
      <protection locked="0"/>
    </xf>
    <xf numFmtId="3" fontId="106" fillId="0" borderId="0" xfId="1122" applyNumberFormat="1" applyFont="1" applyFill="1" applyAlignment="1" applyProtection="1">
      <protection locked="0"/>
    </xf>
    <xf numFmtId="0" fontId="97" fillId="0" borderId="0" xfId="1123" applyFont="1" applyFill="1"/>
    <xf numFmtId="0" fontId="43" fillId="0" borderId="0" xfId="1122" applyNumberFormat="1" applyFont="1" applyFill="1" applyAlignment="1" applyProtection="1">
      <alignment horizontal="center" vertical="center"/>
      <protection locked="0"/>
    </xf>
    <xf numFmtId="0" fontId="76" fillId="0" borderId="0" xfId="1122" applyNumberFormat="1" applyFont="1" applyFill="1" applyAlignment="1" applyProtection="1">
      <alignment horizontal="center" vertical="center"/>
      <protection locked="0"/>
    </xf>
    <xf numFmtId="3" fontId="107" fillId="0" borderId="0" xfId="1122" applyNumberFormat="1" applyFont="1" applyFill="1" applyAlignment="1" applyProtection="1">
      <protection locked="0"/>
    </xf>
    <xf numFmtId="170" fontId="43" fillId="0" borderId="0" xfId="1122" applyNumberFormat="1" applyFont="1" applyFill="1" applyAlignment="1" applyProtection="1">
      <alignment horizontal="center"/>
      <protection locked="0"/>
    </xf>
    <xf numFmtId="167" fontId="107" fillId="0" borderId="0" xfId="1122" applyFont="1" applyFill="1" applyAlignment="1" applyProtection="1">
      <protection locked="0"/>
    </xf>
    <xf numFmtId="177" fontId="38" fillId="0" borderId="0" xfId="1122" applyNumberFormat="1" applyFont="1" applyFill="1" applyAlignment="1" applyProtection="1">
      <protection locked="0"/>
    </xf>
    <xf numFmtId="0" fontId="97" fillId="0" borderId="0" xfId="1123" applyAlignment="1">
      <alignment wrapText="1"/>
    </xf>
    <xf numFmtId="0" fontId="5" fillId="0" borderId="0" xfId="1123" applyFont="1" applyAlignment="1">
      <alignment horizontal="center" wrapText="1"/>
    </xf>
    <xf numFmtId="0" fontId="43" fillId="0" borderId="0" xfId="1122" applyNumberFormat="1" applyFont="1" applyAlignment="1" applyProtection="1">
      <alignment horizontal="left" wrapText="1"/>
      <protection locked="0"/>
    </xf>
    <xf numFmtId="3" fontId="38" fillId="0" borderId="0" xfId="1122" applyNumberFormat="1" applyFont="1" applyFill="1" applyAlignment="1" applyProtection="1">
      <alignment horizontal="right" vertical="center"/>
      <protection locked="0"/>
    </xf>
    <xf numFmtId="3" fontId="107" fillId="0" borderId="0" xfId="1122" applyNumberFormat="1" applyFont="1" applyFill="1" applyAlignment="1" applyProtection="1">
      <alignment vertical="center" wrapText="1"/>
      <protection locked="0"/>
    </xf>
    <xf numFmtId="3" fontId="43" fillId="0" borderId="0" xfId="1122" applyNumberFormat="1" applyFont="1" applyFill="1" applyAlignment="1" applyProtection="1">
      <alignment wrapText="1"/>
      <protection locked="0"/>
    </xf>
    <xf numFmtId="0" fontId="43" fillId="0" borderId="0" xfId="1122" applyNumberFormat="1" applyFont="1" applyBorder="1" applyAlignment="1" applyProtection="1">
      <alignment vertical="center"/>
      <protection locked="0"/>
    </xf>
    <xf numFmtId="185" fontId="43" fillId="0" borderId="0" xfId="1122" applyNumberFormat="1" applyFont="1" applyFill="1" applyAlignment="1" applyProtection="1">
      <protection locked="0"/>
    </xf>
    <xf numFmtId="186" fontId="43" fillId="0" borderId="0" xfId="1122" applyNumberFormat="1" applyFont="1" applyFill="1" applyAlignment="1" applyProtection="1">
      <protection locked="0"/>
    </xf>
    <xf numFmtId="167" fontId="38" fillId="0" borderId="0" xfId="1122" applyFont="1" applyFill="1" applyAlignment="1" applyProtection="1">
      <alignment horizontal="right"/>
      <protection locked="0"/>
    </xf>
    <xf numFmtId="0" fontId="5" fillId="0" borderId="0" xfId="1123" applyFont="1" applyAlignment="1">
      <alignment horizontal="center"/>
    </xf>
    <xf numFmtId="3" fontId="102" fillId="0" borderId="0" xfId="1122" applyNumberFormat="1" applyFont="1" applyAlignment="1" applyProtection="1">
      <alignment horizontal="center"/>
      <protection locked="0"/>
    </xf>
    <xf numFmtId="167" fontId="98" fillId="0" borderId="0" xfId="1122" applyFont="1" applyBorder="1" applyAlignment="1" applyProtection="1">
      <alignment horizontal="center"/>
      <protection locked="0"/>
    </xf>
    <xf numFmtId="49" fontId="38" fillId="60" borderId="0" xfId="1122" applyNumberFormat="1" applyFont="1" applyFill="1" applyAlignment="1" applyProtection="1">
      <alignment horizontal="center"/>
      <protection locked="0"/>
    </xf>
    <xf numFmtId="49" fontId="38" fillId="0" borderId="0" xfId="1122" applyNumberFormat="1" applyFont="1" applyAlignment="1" applyProtection="1">
      <alignment horizontal="center"/>
      <protection locked="0"/>
    </xf>
    <xf numFmtId="0" fontId="43" fillId="0" borderId="0" xfId="1122" applyNumberFormat="1" applyFont="1" applyAlignment="1" applyProtection="1">
      <alignment horizontal="left"/>
      <protection locked="0"/>
    </xf>
    <xf numFmtId="10" fontId="43" fillId="60" borderId="0" xfId="1122" applyNumberFormat="1" applyFont="1" applyFill="1" applyAlignment="1" applyProtection="1">
      <protection locked="0"/>
    </xf>
    <xf numFmtId="10" fontId="43" fillId="0" borderId="0" xfId="1122" applyNumberFormat="1" applyFont="1" applyAlignment="1" applyProtection="1">
      <protection locked="0"/>
    </xf>
    <xf numFmtId="187" fontId="43" fillId="0" borderId="0" xfId="1122" applyNumberFormat="1" applyFont="1" applyProtection="1">
      <protection locked="0"/>
    </xf>
    <xf numFmtId="43" fontId="43" fillId="60" borderId="0" xfId="1124" applyFont="1" applyFill="1" applyAlignment="1" applyProtection="1">
      <protection locked="0"/>
    </xf>
    <xf numFmtId="43" fontId="43" fillId="0" borderId="0" xfId="1124" applyFont="1" applyAlignment="1" applyProtection="1">
      <protection locked="0"/>
    </xf>
    <xf numFmtId="0" fontId="43" fillId="0" borderId="0" xfId="1123" applyNumberFormat="1" applyFont="1" applyFill="1"/>
    <xf numFmtId="10" fontId="43" fillId="60" borderId="0" xfId="1125" applyNumberFormat="1" applyFont="1" applyFill="1" applyAlignment="1" applyProtection="1">
      <protection locked="0"/>
    </xf>
    <xf numFmtId="10" fontId="43" fillId="0" borderId="0" xfId="1125" applyNumberFormat="1" applyFont="1" applyAlignment="1" applyProtection="1">
      <protection locked="0"/>
    </xf>
    <xf numFmtId="10" fontId="43" fillId="60" borderId="0" xfId="1122" applyNumberFormat="1" applyFont="1" applyFill="1" applyAlignment="1"/>
    <xf numFmtId="10" fontId="43" fillId="0" borderId="0" xfId="1122" applyNumberFormat="1" applyFont="1" applyAlignment="1"/>
    <xf numFmtId="0" fontId="43" fillId="0" borderId="0" xfId="1123" applyNumberFormat="1" applyFont="1" applyAlignment="1"/>
    <xf numFmtId="10" fontId="43" fillId="60" borderId="0" xfId="1122" applyNumberFormat="1" applyFont="1" applyFill="1" applyProtection="1">
      <protection locked="0"/>
    </xf>
    <xf numFmtId="10" fontId="43" fillId="0" borderId="0" xfId="1122" applyNumberFormat="1" applyFont="1" applyProtection="1">
      <protection locked="0"/>
    </xf>
    <xf numFmtId="43" fontId="43" fillId="0" borderId="0" xfId="1124" applyFont="1" applyProtection="1">
      <protection locked="0"/>
    </xf>
    <xf numFmtId="42" fontId="43" fillId="60" borderId="0" xfId="1122" applyNumberFormat="1" applyFont="1" applyFill="1" applyAlignment="1" applyProtection="1">
      <protection locked="0"/>
    </xf>
    <xf numFmtId="42" fontId="43" fillId="0" borderId="0" xfId="1122" applyNumberFormat="1" applyFont="1" applyFill="1" applyAlignment="1" applyProtection="1">
      <protection locked="0"/>
    </xf>
    <xf numFmtId="167" fontId="108" fillId="0" borderId="0" xfId="1122" applyFont="1" applyAlignment="1">
      <alignment horizontal="center" wrapText="1"/>
    </xf>
    <xf numFmtId="42" fontId="43" fillId="0" borderId="0" xfId="1122" applyNumberFormat="1" applyFont="1" applyAlignment="1" applyProtection="1">
      <protection locked="0"/>
    </xf>
    <xf numFmtId="168" fontId="43" fillId="60" borderId="28" xfId="1122" applyNumberFormat="1" applyFont="1" applyFill="1" applyBorder="1" applyAlignment="1" applyProtection="1">
      <protection locked="0"/>
    </xf>
    <xf numFmtId="168" fontId="43" fillId="0" borderId="28" xfId="1122" applyNumberFormat="1" applyFont="1" applyBorder="1" applyAlignment="1" applyProtection="1">
      <protection locked="0"/>
    </xf>
    <xf numFmtId="0" fontId="43" fillId="0" borderId="0" xfId="1123" applyNumberFormat="1" applyFont="1" applyAlignment="1">
      <alignment wrapText="1"/>
    </xf>
    <xf numFmtId="167" fontId="43" fillId="60" borderId="15" xfId="1122" applyFont="1" applyFill="1" applyBorder="1" applyAlignment="1"/>
    <xf numFmtId="167" fontId="43" fillId="0" borderId="15" xfId="1122" applyFont="1" applyBorder="1" applyAlignment="1"/>
    <xf numFmtId="42" fontId="43" fillId="60" borderId="0" xfId="1122" applyNumberFormat="1" applyFont="1" applyFill="1" applyBorder="1" applyAlignment="1" applyProtection="1">
      <protection locked="0"/>
    </xf>
    <xf numFmtId="42" fontId="43" fillId="0" borderId="0" xfId="1122" applyNumberFormat="1" applyFont="1" applyBorder="1" applyAlignment="1" applyProtection="1">
      <protection locked="0"/>
    </xf>
    <xf numFmtId="42" fontId="43" fillId="60" borderId="15" xfId="1122" applyNumberFormat="1" applyFont="1" applyFill="1" applyBorder="1" applyAlignment="1" applyProtection="1">
      <protection locked="0"/>
    </xf>
    <xf numFmtId="42" fontId="43" fillId="0" borderId="15" xfId="1122" applyNumberFormat="1" applyFont="1" applyBorder="1" applyAlignment="1" applyProtection="1">
      <protection locked="0"/>
    </xf>
    <xf numFmtId="41" fontId="43" fillId="0" borderId="15" xfId="1122" applyNumberFormat="1" applyFont="1" applyFill="1" applyBorder="1" applyAlignment="1" applyProtection="1">
      <protection locked="0"/>
    </xf>
    <xf numFmtId="3" fontId="43" fillId="60" borderId="0" xfId="1122" applyNumberFormat="1" applyFont="1" applyFill="1" applyProtection="1">
      <protection locked="0"/>
    </xf>
    <xf numFmtId="3" fontId="43" fillId="0" borderId="0" xfId="1122" applyNumberFormat="1" applyFont="1" applyProtection="1">
      <protection locked="0"/>
    </xf>
    <xf numFmtId="0" fontId="43" fillId="0" borderId="13" xfId="1122" applyNumberFormat="1" applyFont="1" applyBorder="1" applyAlignment="1" applyProtection="1">
      <alignment horizontal="centerContinuous"/>
      <protection locked="0"/>
    </xf>
    <xf numFmtId="0" fontId="43" fillId="0" borderId="13" xfId="1122" applyNumberFormat="1" applyFont="1" applyBorder="1" applyAlignment="1" applyProtection="1">
      <alignment horizontal="center"/>
      <protection locked="0"/>
    </xf>
    <xf numFmtId="3" fontId="100" fillId="0" borderId="0" xfId="1122" applyNumberFormat="1" applyFont="1" applyFill="1" applyAlignment="1" applyProtection="1">
      <alignment horizontal="left"/>
      <protection locked="0"/>
    </xf>
    <xf numFmtId="168" fontId="43" fillId="60" borderId="0" xfId="1122" applyNumberFormat="1" applyFont="1" applyFill="1" applyProtection="1">
      <protection locked="0"/>
    </xf>
    <xf numFmtId="0" fontId="43" fillId="0" borderId="0" xfId="1123" applyNumberFormat="1" applyFont="1"/>
    <xf numFmtId="0" fontId="43" fillId="60" borderId="0" xfId="1122" applyNumberFormat="1" applyFont="1" applyFill="1" applyAlignment="1" applyProtection="1">
      <alignment horizontal="center"/>
      <protection locked="0"/>
    </xf>
    <xf numFmtId="49" fontId="43" fillId="0" borderId="0" xfId="1122" applyNumberFormat="1" applyFont="1" applyProtection="1">
      <protection locked="0"/>
    </xf>
    <xf numFmtId="39" fontId="43" fillId="0" borderId="0" xfId="1124" applyNumberFormat="1" applyFont="1" applyAlignment="1" applyProtection="1">
      <alignment horizontal="center"/>
      <protection locked="0"/>
    </xf>
    <xf numFmtId="49" fontId="43" fillId="0" borderId="0" xfId="1122" applyNumberFormat="1" applyFont="1" applyFill="1" applyProtection="1">
      <protection locked="0"/>
    </xf>
    <xf numFmtId="3" fontId="109" fillId="0" borderId="0" xfId="1123" applyNumberFormat="1" applyFont="1" applyFill="1" applyAlignment="1">
      <alignment horizontal="center"/>
    </xf>
    <xf numFmtId="0" fontId="43" fillId="0" borderId="0" xfId="1122" applyNumberFormat="1" applyFont="1" applyFill="1" applyAlignment="1" applyProtection="1">
      <alignment horizontal="right"/>
      <protection locked="0"/>
    </xf>
    <xf numFmtId="0" fontId="43" fillId="0" borderId="0" xfId="1123" applyFont="1" applyAlignment="1"/>
    <xf numFmtId="3" fontId="43" fillId="0" borderId="0" xfId="1123" applyNumberFormat="1" applyFont="1" applyFill="1" applyAlignment="1">
      <alignment horizontal="center"/>
    </xf>
    <xf numFmtId="0" fontId="43" fillId="0" borderId="0" xfId="1123" applyNumberFormat="1" applyFont="1" applyAlignment="1">
      <alignment horizontal="center"/>
    </xf>
    <xf numFmtId="0" fontId="43" fillId="0" borderId="0" xfId="1123" applyFont="1" applyFill="1" applyAlignment="1"/>
    <xf numFmtId="0" fontId="43" fillId="0" borderId="0" xfId="1123" applyNumberFormat="1" applyFont="1" applyFill="1" applyAlignment="1">
      <alignment horizontal="center"/>
    </xf>
    <xf numFmtId="0" fontId="43" fillId="0" borderId="0" xfId="1124" applyNumberFormat="1" applyFont="1" applyAlignment="1"/>
    <xf numFmtId="164" fontId="43" fillId="60" borderId="0" xfId="1126" applyNumberFormat="1" applyFont="1" applyFill="1" applyAlignment="1" applyProtection="1">
      <protection locked="0"/>
    </xf>
    <xf numFmtId="164" fontId="99" fillId="60" borderId="13" xfId="1126" applyNumberFormat="1" applyFont="1" applyFill="1" applyBorder="1" applyAlignment="1"/>
    <xf numFmtId="164" fontId="99" fillId="60" borderId="0" xfId="1126" applyNumberFormat="1" applyFont="1" applyFill="1" applyAlignment="1"/>
    <xf numFmtId="164" fontId="43" fillId="60" borderId="13" xfId="1126" applyNumberFormat="1" applyFont="1" applyFill="1" applyBorder="1" applyAlignment="1"/>
    <xf numFmtId="164" fontId="43" fillId="60" borderId="0" xfId="1126" applyNumberFormat="1" applyFont="1" applyFill="1" applyAlignment="1"/>
    <xf numFmtId="164" fontId="43" fillId="60" borderId="28" xfId="1126" applyNumberFormat="1" applyFont="1" applyFill="1" applyBorder="1" applyAlignment="1" applyProtection="1">
      <protection locked="0"/>
    </xf>
    <xf numFmtId="43" fontId="100" fillId="60" borderId="0" xfId="1126" applyFont="1" applyFill="1" applyAlignment="1" applyProtection="1">
      <protection locked="0"/>
    </xf>
    <xf numFmtId="43" fontId="43" fillId="60" borderId="0" xfId="1126" applyFont="1" applyFill="1" applyAlignment="1" applyProtection="1">
      <protection locked="0"/>
    </xf>
    <xf numFmtId="10" fontId="43" fillId="60" borderId="0" xfId="1127" applyNumberFormat="1" applyFont="1" applyFill="1" applyAlignment="1" applyProtection="1">
      <protection locked="0"/>
    </xf>
    <xf numFmtId="175" fontId="99" fillId="3" borderId="0" xfId="1125" applyNumberFormat="1" applyFont="1" applyFill="1"/>
    <xf numFmtId="10" fontId="99" fillId="3" borderId="0" xfId="1125" applyNumberFormat="1" applyFont="1" applyFill="1" applyAlignment="1" applyProtection="1">
      <protection locked="0"/>
    </xf>
    <xf numFmtId="41" fontId="99" fillId="3" borderId="0" xfId="1122" applyNumberFormat="1" applyFont="1" applyFill="1" applyAlignment="1" applyProtection="1">
      <protection locked="0"/>
    </xf>
    <xf numFmtId="164" fontId="43" fillId="60" borderId="0" xfId="1128" applyNumberFormat="1" applyFont="1" applyFill="1" applyAlignment="1" applyProtection="1">
      <protection locked="0"/>
    </xf>
    <xf numFmtId="164" fontId="99" fillId="60" borderId="13" xfId="1128" applyNumberFormat="1" applyFont="1" applyFill="1" applyBorder="1" applyAlignment="1"/>
    <xf numFmtId="164" fontId="99" fillId="3" borderId="13" xfId="1124" applyNumberFormat="1" applyFont="1" applyFill="1" applyBorder="1" applyAlignment="1"/>
    <xf numFmtId="164" fontId="99" fillId="60" borderId="0" xfId="1128" applyNumberFormat="1" applyFont="1" applyFill="1" applyAlignment="1"/>
    <xf numFmtId="164" fontId="99" fillId="3" borderId="0" xfId="1124" applyNumberFormat="1" applyFont="1" applyFill="1" applyAlignment="1"/>
    <xf numFmtId="164" fontId="43" fillId="60" borderId="13" xfId="1128" applyNumberFormat="1" applyFont="1" applyFill="1" applyBorder="1" applyAlignment="1"/>
    <xf numFmtId="164" fontId="43" fillId="60" borderId="0" xfId="1128" applyNumberFormat="1" applyFont="1" applyFill="1" applyAlignment="1"/>
    <xf numFmtId="164" fontId="43" fillId="60" borderId="28" xfId="1128" applyNumberFormat="1" applyFont="1" applyFill="1" applyBorder="1" applyAlignment="1" applyProtection="1">
      <protection locked="0"/>
    </xf>
    <xf numFmtId="43" fontId="100" fillId="60" borderId="0" xfId="1128" applyFont="1" applyFill="1" applyAlignment="1" applyProtection="1">
      <protection locked="0"/>
    </xf>
    <xf numFmtId="43" fontId="43" fillId="60" borderId="0" xfId="1128" applyFont="1" applyFill="1" applyAlignment="1" applyProtection="1">
      <protection locked="0"/>
    </xf>
    <xf numFmtId="10" fontId="43" fillId="60" borderId="0" xfId="1129" applyNumberFormat="1" applyFont="1" applyFill="1" applyAlignment="1" applyProtection="1">
      <protection locked="0"/>
    </xf>
    <xf numFmtId="0" fontId="97" fillId="0" borderId="0" xfId="1123" applyAlignment="1">
      <alignment wrapText="1"/>
    </xf>
    <xf numFmtId="49" fontId="43" fillId="0" borderId="0" xfId="1122" applyNumberFormat="1" applyFont="1" applyAlignment="1" applyProtection="1">
      <alignment horizontal="center"/>
      <protection locked="0"/>
    </xf>
    <xf numFmtId="0" fontId="98" fillId="0" borderId="0" xfId="1122" applyNumberFormat="1" applyFont="1" applyAlignment="1" applyProtection="1">
      <alignment horizontal="center"/>
      <protection locked="0"/>
    </xf>
    <xf numFmtId="167" fontId="43" fillId="0" borderId="32" xfId="1122" applyFont="1" applyFill="1" applyBorder="1" applyAlignment="1">
      <alignment horizontal="right"/>
    </xf>
    <xf numFmtId="167" fontId="43" fillId="0" borderId="0" xfId="1122" applyFont="1" applyBorder="1" applyAlignment="1"/>
    <xf numFmtId="14" fontId="43" fillId="0" borderId="33" xfId="1122" applyNumberFormat="1" applyFont="1" applyBorder="1" applyAlignment="1"/>
    <xf numFmtId="0" fontId="43" fillId="0" borderId="32" xfId="1122" applyNumberFormat="1" applyFont="1" applyFill="1" applyBorder="1" applyAlignment="1" applyProtection="1">
      <alignment horizontal="right"/>
      <protection locked="0"/>
    </xf>
    <xf numFmtId="0" fontId="43" fillId="0" borderId="34" xfId="1122" applyNumberFormat="1" applyFont="1" applyFill="1" applyBorder="1" applyAlignment="1" applyProtection="1">
      <alignment horizontal="right"/>
      <protection locked="0"/>
    </xf>
    <xf numFmtId="167" fontId="43" fillId="0" borderId="13" xfId="1122" applyFont="1" applyBorder="1" applyAlignment="1"/>
    <xf numFmtId="0" fontId="43" fillId="0" borderId="35" xfId="1122" applyNumberFormat="1" applyFont="1" applyBorder="1" applyAlignment="1"/>
    <xf numFmtId="188" fontId="0" fillId="0" borderId="0" xfId="1131" applyNumberFormat="1" applyFont="1" applyBorder="1"/>
    <xf numFmtId="0" fontId="97" fillId="0" borderId="0" xfId="1123" quotePrefix="1" applyBorder="1" applyAlignment="1">
      <alignment horizontal="left"/>
    </xf>
    <xf numFmtId="0" fontId="97" fillId="0" borderId="0" xfId="1123" applyBorder="1" applyAlignment="1">
      <alignment horizontal="center" vertical="center"/>
    </xf>
    <xf numFmtId="0" fontId="97" fillId="0" borderId="0" xfId="1123" quotePrefix="1" applyBorder="1" applyAlignment="1">
      <alignment horizontal="center" vertical="center"/>
    </xf>
    <xf numFmtId="0" fontId="6" fillId="0" borderId="36" xfId="1123" quotePrefix="1" applyFont="1" applyBorder="1" applyAlignment="1">
      <alignment horizontal="left" vertical="center" wrapText="1"/>
    </xf>
    <xf numFmtId="0" fontId="6" fillId="0" borderId="37" xfId="1123" quotePrefix="1" applyFont="1" applyBorder="1" applyAlignment="1">
      <alignment horizontal="center" vertical="center" wrapText="1"/>
    </xf>
    <xf numFmtId="0" fontId="6" fillId="0" borderId="38" xfId="1123" quotePrefix="1" applyFont="1" applyBorder="1" applyAlignment="1">
      <alignment horizontal="center" vertical="center" wrapText="1"/>
    </xf>
    <xf numFmtId="188" fontId="97" fillId="0" borderId="0" xfId="1123" applyNumberFormat="1"/>
    <xf numFmtId="0" fontId="97" fillId="0" borderId="32" xfId="1123" applyBorder="1"/>
    <xf numFmtId="188" fontId="0" fillId="0" borderId="40" xfId="1131" applyNumberFormat="1" applyFont="1" applyBorder="1"/>
    <xf numFmtId="0" fontId="97" fillId="0" borderId="32" xfId="1123" quotePrefix="1" applyBorder="1" applyAlignment="1">
      <alignment horizontal="left"/>
    </xf>
    <xf numFmtId="43" fontId="97" fillId="0" borderId="0" xfId="1123" applyNumberFormat="1" applyBorder="1"/>
    <xf numFmtId="0" fontId="97" fillId="0" borderId="41" xfId="1123" applyBorder="1"/>
    <xf numFmtId="0" fontId="81" fillId="5" borderId="42" xfId="1123" quotePrefix="1" applyFont="1" applyFill="1" applyBorder="1" applyAlignment="1">
      <alignment horizontal="left" vertical="center" wrapText="1"/>
    </xf>
    <xf numFmtId="0" fontId="81" fillId="0" borderId="42" xfId="1123" quotePrefix="1" applyFont="1" applyFill="1" applyBorder="1" applyAlignment="1">
      <alignment horizontal="left" vertical="center" wrapText="1"/>
    </xf>
    <xf numFmtId="164" fontId="0" fillId="0" borderId="0" xfId="1128" applyNumberFormat="1" applyFont="1"/>
    <xf numFmtId="0" fontId="81" fillId="0" borderId="34" xfId="1123" quotePrefix="1" applyFont="1" applyBorder="1" applyAlignment="1">
      <alignment horizontal="center" vertical="center" wrapText="1"/>
    </xf>
    <xf numFmtId="188" fontId="0" fillId="0" borderId="45" xfId="1131" applyNumberFormat="1" applyFont="1" applyBorder="1" applyAlignment="1">
      <alignment vertical="center"/>
    </xf>
    <xf numFmtId="0" fontId="97" fillId="0" borderId="0" xfId="1123" quotePrefix="1" applyAlignment="1">
      <alignment horizontal="left"/>
    </xf>
    <xf numFmtId="170" fontId="0" fillId="0" borderId="39" xfId="1130" applyNumberFormat="1" applyFont="1" applyBorder="1"/>
    <xf numFmtId="170" fontId="0" fillId="5" borderId="25" xfId="1130" applyNumberFormat="1" applyFont="1" applyFill="1" applyBorder="1" applyAlignment="1">
      <alignment vertical="center"/>
    </xf>
    <xf numFmtId="170" fontId="0" fillId="0" borderId="25" xfId="1130" applyNumberFormat="1" applyFont="1" applyFill="1" applyBorder="1" applyAlignment="1">
      <alignment vertical="center"/>
    </xf>
    <xf numFmtId="170" fontId="0" fillId="0" borderId="44" xfId="1130" applyNumberFormat="1" applyFont="1" applyBorder="1" applyAlignment="1">
      <alignment vertical="center"/>
    </xf>
    <xf numFmtId="188" fontId="0" fillId="5" borderId="43" xfId="1131" applyNumberFormat="1" applyFont="1" applyFill="1" applyBorder="1" applyAlignment="1">
      <alignment vertical="center"/>
    </xf>
    <xf numFmtId="0" fontId="97" fillId="0" borderId="46" xfId="1123" quotePrefix="1" applyBorder="1" applyAlignment="1">
      <alignment horizontal="left"/>
    </xf>
    <xf numFmtId="0" fontId="97" fillId="0" borderId="47" xfId="1123" applyBorder="1"/>
    <xf numFmtId="188" fontId="0" fillId="0" borderId="43" xfId="1131" applyNumberFormat="1" applyFont="1" applyFill="1" applyBorder="1" applyAlignment="1">
      <alignment vertical="center"/>
    </xf>
    <xf numFmtId="0" fontId="6" fillId="0" borderId="0" xfId="1123" quotePrefix="1" applyFont="1" applyAlignment="1">
      <alignment horizontal="center"/>
    </xf>
    <xf numFmtId="0" fontId="98" fillId="0" borderId="0" xfId="1122" applyNumberFormat="1" applyFont="1" applyAlignment="1" applyProtection="1">
      <alignment horizontal="center"/>
      <protection locked="0"/>
    </xf>
    <xf numFmtId="0" fontId="105" fillId="0" borderId="0" xfId="1123" applyFont="1" applyAlignment="1"/>
    <xf numFmtId="167" fontId="43" fillId="0" borderId="0" xfId="1122" applyFont="1" applyAlignment="1">
      <alignment wrapText="1"/>
    </xf>
    <xf numFmtId="0" fontId="97" fillId="0" borderId="0" xfId="1123" applyAlignment="1">
      <alignment wrapText="1"/>
    </xf>
    <xf numFmtId="3" fontId="98" fillId="0" borderId="0" xfId="1122" applyNumberFormat="1" applyFont="1" applyFill="1" applyAlignment="1" applyProtection="1">
      <alignment horizontal="center"/>
      <protection locked="0"/>
    </xf>
    <xf numFmtId="167" fontId="43" fillId="0" borderId="0" xfId="1122" applyFont="1" applyFill="1" applyAlignment="1" applyProtection="1">
      <alignment wrapText="1"/>
      <protection locked="0"/>
    </xf>
    <xf numFmtId="0" fontId="43" fillId="0" borderId="0" xfId="1122" applyNumberFormat="1" applyFont="1" applyFill="1" applyAlignment="1" applyProtection="1">
      <alignment wrapText="1"/>
      <protection locked="0"/>
    </xf>
    <xf numFmtId="0" fontId="43" fillId="0" borderId="0" xfId="1122" applyNumberFormat="1" applyFont="1" applyFill="1" applyAlignment="1" applyProtection="1">
      <alignment horizontal="left" vertical="top" wrapText="1"/>
      <protection locked="0"/>
    </xf>
    <xf numFmtId="167" fontId="108" fillId="0" borderId="0" xfId="1122" applyFont="1" applyFill="1" applyAlignment="1">
      <alignment horizontal="center" wrapText="1"/>
    </xf>
    <xf numFmtId="0" fontId="43" fillId="0" borderId="0" xfId="1123" applyNumberFormat="1" applyFont="1" applyFill="1" applyAlignment="1">
      <alignment wrapText="1"/>
    </xf>
    <xf numFmtId="49" fontId="43" fillId="0" borderId="0" xfId="1122" applyNumberFormat="1" applyFont="1" applyAlignment="1" applyProtection="1">
      <alignment horizontal="center"/>
      <protection locked="0"/>
    </xf>
    <xf numFmtId="0" fontId="97" fillId="0" borderId="0" xfId="1123" applyAlignment="1">
      <alignment horizontal="center"/>
    </xf>
    <xf numFmtId="0" fontId="110" fillId="2" borderId="30" xfId="1122" applyNumberFormat="1" applyFont="1" applyFill="1" applyBorder="1" applyAlignment="1" applyProtection="1">
      <alignment horizontal="center"/>
      <protection locked="0"/>
    </xf>
    <xf numFmtId="0" fontId="110" fillId="2" borderId="27" xfId="1122" applyNumberFormat="1" applyFont="1" applyFill="1" applyBorder="1" applyAlignment="1" applyProtection="1">
      <alignment horizontal="center"/>
      <protection locked="0"/>
    </xf>
    <xf numFmtId="0" fontId="110" fillId="2" borderId="31" xfId="1122" applyNumberFormat="1" applyFont="1" applyFill="1" applyBorder="1" applyAlignment="1" applyProtection="1">
      <alignment horizontal="center"/>
      <protection locked="0"/>
    </xf>
  </cellXfs>
  <cellStyles count="1132">
    <cellStyle name="20% - Accent1 2" xfId="7"/>
    <cellStyle name="20% - Accent1 2 2" xfId="8"/>
    <cellStyle name="20% - Accent1 2 3" xfId="9"/>
    <cellStyle name="20% - Accent1 2 4" xfId="10"/>
    <cellStyle name="20% - Accent1 2 5" xfId="11"/>
    <cellStyle name="20% - Accent2 2" xfId="12"/>
    <cellStyle name="20% - Accent2 2 2" xfId="13"/>
    <cellStyle name="20% - Accent2 2 3" xfId="14"/>
    <cellStyle name="20% - Accent2 2 4" xfId="15"/>
    <cellStyle name="20% - Accent2 2 5" xfId="16"/>
    <cellStyle name="20% - Accent3 2" xfId="17"/>
    <cellStyle name="20% - Accent3 2 2" xfId="18"/>
    <cellStyle name="20% - Accent3 2 3" xfId="19"/>
    <cellStyle name="20% - Accent3 2 4" xfId="20"/>
    <cellStyle name="20% - Accent3 2 5" xfId="21"/>
    <cellStyle name="20% - Accent4 2" xfId="22"/>
    <cellStyle name="20% - Accent4 2 2" xfId="23"/>
    <cellStyle name="20% - Accent4 2 3" xfId="24"/>
    <cellStyle name="20% - Accent4 2 4" xfId="25"/>
    <cellStyle name="20% - Accent4 2 5" xfId="26"/>
    <cellStyle name="20% - Accent5 2" xfId="27"/>
    <cellStyle name="20% - Accent5 2 2" xfId="28"/>
    <cellStyle name="20% - Accent5 2 3" xfId="29"/>
    <cellStyle name="20% - Accent5 2 4" xfId="30"/>
    <cellStyle name="20% - Accent5 2 5" xfId="31"/>
    <cellStyle name="20% - Accent6 2" xfId="32"/>
    <cellStyle name="20% - Accent6 2 2" xfId="33"/>
    <cellStyle name="20% - Accent6 2 3" xfId="34"/>
    <cellStyle name="20% - Accent6 2 4" xfId="35"/>
    <cellStyle name="20% - Accent6 2 5" xfId="36"/>
    <cellStyle name="40% - Accent1 2" xfId="37"/>
    <cellStyle name="40% - Accent1 2 2" xfId="38"/>
    <cellStyle name="40% - Accent1 2 3" xfId="39"/>
    <cellStyle name="40% - Accent1 2 4" xfId="40"/>
    <cellStyle name="40% - Accent1 2 5" xfId="41"/>
    <cellStyle name="40% - Accent2 2" xfId="42"/>
    <cellStyle name="40% - Accent2 2 2" xfId="43"/>
    <cellStyle name="40% - Accent2 2 3" xfId="44"/>
    <cellStyle name="40% - Accent2 2 4" xfId="45"/>
    <cellStyle name="40% - Accent2 2 5" xfId="46"/>
    <cellStyle name="40% - Accent3 2" xfId="47"/>
    <cellStyle name="40% - Accent3 2 2" xfId="48"/>
    <cellStyle name="40% - Accent3 2 3" xfId="49"/>
    <cellStyle name="40% - Accent3 2 4" xfId="50"/>
    <cellStyle name="40% - Accent3 2 5" xfId="51"/>
    <cellStyle name="40% - Accent4 2" xfId="52"/>
    <cellStyle name="40% - Accent4 2 2" xfId="53"/>
    <cellStyle name="40% - Accent4 2 3" xfId="54"/>
    <cellStyle name="40% - Accent4 2 4" xfId="55"/>
    <cellStyle name="40% - Accent4 2 5" xfId="56"/>
    <cellStyle name="40% - Accent5 2" xfId="57"/>
    <cellStyle name="40% - Accent5 2 2" xfId="58"/>
    <cellStyle name="40% - Accent5 2 3" xfId="59"/>
    <cellStyle name="40% - Accent5 2 4" xfId="60"/>
    <cellStyle name="40% - Accent5 2 5" xfId="61"/>
    <cellStyle name="40% - Accent6 2" xfId="62"/>
    <cellStyle name="40% - Accent6 2 2" xfId="63"/>
    <cellStyle name="40% - Accent6 2 3" xfId="64"/>
    <cellStyle name="40% - Accent6 2 4" xfId="65"/>
    <cellStyle name="40% - Accent6 2 5" xfId="66"/>
    <cellStyle name="60% - Accent1 2" xfId="67"/>
    <cellStyle name="60% - Accent1 2 2" xfId="68"/>
    <cellStyle name="60% - Accent1 2 3" xfId="69"/>
    <cellStyle name="60% - Accent1 2 4" xfId="70"/>
    <cellStyle name="60% - Accent1 2 5" xfId="71"/>
    <cellStyle name="60% - Accent2 2" xfId="72"/>
    <cellStyle name="60% - Accent2 2 2" xfId="73"/>
    <cellStyle name="60% - Accent2 2 3" xfId="74"/>
    <cellStyle name="60% - Accent2 2 4" xfId="75"/>
    <cellStyle name="60% - Accent2 2 5" xfId="76"/>
    <cellStyle name="60% - Accent3 2" xfId="77"/>
    <cellStyle name="60% - Accent3 2 2" xfId="78"/>
    <cellStyle name="60% - Accent3 2 3" xfId="79"/>
    <cellStyle name="60% - Accent3 2 4" xfId="80"/>
    <cellStyle name="60% - Accent3 2 5" xfId="81"/>
    <cellStyle name="60% - Accent4 2" xfId="82"/>
    <cellStyle name="60% - Accent4 2 2" xfId="83"/>
    <cellStyle name="60% - Accent4 2 3" xfId="84"/>
    <cellStyle name="60% - Accent4 2 4" xfId="85"/>
    <cellStyle name="60% - Accent4 2 5" xfId="86"/>
    <cellStyle name="60% - Accent5 2" xfId="87"/>
    <cellStyle name="60% - Accent5 2 2" xfId="88"/>
    <cellStyle name="60% - Accent5 2 3" xfId="89"/>
    <cellStyle name="60% - Accent5 2 4" xfId="90"/>
    <cellStyle name="60% - Accent5 2 5" xfId="91"/>
    <cellStyle name="60% - Accent6 2" xfId="92"/>
    <cellStyle name="60% - Accent6 2 2" xfId="93"/>
    <cellStyle name="60% - Accent6 2 3" xfId="94"/>
    <cellStyle name="60% - Accent6 2 4" xfId="95"/>
    <cellStyle name="60% - Accent6 2 5" xfId="96"/>
    <cellStyle name="Accent1 2" xfId="97"/>
    <cellStyle name="Accent1 2 2" xfId="98"/>
    <cellStyle name="Accent1 2 3" xfId="99"/>
    <cellStyle name="Accent1 2 4" xfId="100"/>
    <cellStyle name="Accent1 2 5" xfId="101"/>
    <cellStyle name="Accent2 2" xfId="102"/>
    <cellStyle name="Accent2 2 2" xfId="103"/>
    <cellStyle name="Accent2 2 3" xfId="104"/>
    <cellStyle name="Accent2 2 4" xfId="105"/>
    <cellStyle name="Accent2 2 5" xfId="106"/>
    <cellStyle name="Accent3 2" xfId="107"/>
    <cellStyle name="Accent3 2 2" xfId="108"/>
    <cellStyle name="Accent3 2 3" xfId="109"/>
    <cellStyle name="Accent3 2 4" xfId="110"/>
    <cellStyle name="Accent3 2 5" xfId="111"/>
    <cellStyle name="Accent4 2" xfId="112"/>
    <cellStyle name="Accent4 2 2" xfId="113"/>
    <cellStyle name="Accent4 2 3" xfId="114"/>
    <cellStyle name="Accent4 2 4" xfId="115"/>
    <cellStyle name="Accent4 2 5" xfId="116"/>
    <cellStyle name="Accent5 2" xfId="117"/>
    <cellStyle name="Accent5 2 2" xfId="118"/>
    <cellStyle name="Accent5 2 3" xfId="119"/>
    <cellStyle name="Accent5 2 4" xfId="120"/>
    <cellStyle name="Accent5 2 5" xfId="121"/>
    <cellStyle name="Accent6 2" xfId="122"/>
    <cellStyle name="Accent6 2 2" xfId="123"/>
    <cellStyle name="Accent6 2 3" xfId="124"/>
    <cellStyle name="Accent6 2 4" xfId="125"/>
    <cellStyle name="Accent6 2 5" xfId="126"/>
    <cellStyle name="Bad 2" xfId="127"/>
    <cellStyle name="Bad 2 2" xfId="128"/>
    <cellStyle name="Bad 2 3" xfId="129"/>
    <cellStyle name="Bad 2 4" xfId="130"/>
    <cellStyle name="Bad 2 5" xfId="131"/>
    <cellStyle name="C00A" xfId="132"/>
    <cellStyle name="C00B" xfId="133"/>
    <cellStyle name="C00L" xfId="134"/>
    <cellStyle name="C01A" xfId="135"/>
    <cellStyle name="C01B" xfId="136"/>
    <cellStyle name="C01B 2" xfId="137"/>
    <cellStyle name="C01H" xfId="138"/>
    <cellStyle name="C01L" xfId="139"/>
    <cellStyle name="C02A" xfId="140"/>
    <cellStyle name="C02B" xfId="141"/>
    <cellStyle name="C02B 2" xfId="142"/>
    <cellStyle name="C02H" xfId="143"/>
    <cellStyle name="C02L" xfId="144"/>
    <cellStyle name="C03A" xfId="145"/>
    <cellStyle name="C03B" xfId="146"/>
    <cellStyle name="C03H" xfId="147"/>
    <cellStyle name="C03L" xfId="148"/>
    <cellStyle name="C04A" xfId="149"/>
    <cellStyle name="C04A 2" xfId="150"/>
    <cellStyle name="C04B" xfId="151"/>
    <cellStyle name="C04H" xfId="152"/>
    <cellStyle name="C04L" xfId="153"/>
    <cellStyle name="C05A" xfId="154"/>
    <cellStyle name="C05B" xfId="155"/>
    <cellStyle name="C05H" xfId="156"/>
    <cellStyle name="C05L" xfId="157"/>
    <cellStyle name="C05L 2" xfId="158"/>
    <cellStyle name="C06A" xfId="159"/>
    <cellStyle name="C06B" xfId="160"/>
    <cellStyle name="C06H" xfId="161"/>
    <cellStyle name="C06L" xfId="162"/>
    <cellStyle name="C07A" xfId="163"/>
    <cellStyle name="C07B" xfId="164"/>
    <cellStyle name="C07H" xfId="165"/>
    <cellStyle name="C07L" xfId="166"/>
    <cellStyle name="Calculation 2" xfId="167"/>
    <cellStyle name="Calculation 2 2" xfId="168"/>
    <cellStyle name="Calculation 2 3" xfId="169"/>
    <cellStyle name="Calculation 2 4" xfId="170"/>
    <cellStyle name="Calculation 2 5" xfId="171"/>
    <cellStyle name="Check Cell 2" xfId="172"/>
    <cellStyle name="Check Cell 2 2" xfId="173"/>
    <cellStyle name="Check Cell 2 3" xfId="174"/>
    <cellStyle name="Check Cell 2 4" xfId="175"/>
    <cellStyle name="Check Cell 2 5" xfId="176"/>
    <cellStyle name="Comma" xfId="1" builtinId="3"/>
    <cellStyle name="Comma [0] 2" xfId="177"/>
    <cellStyle name="Comma [0] 2 2" xfId="178"/>
    <cellStyle name="Comma 10" xfId="179"/>
    <cellStyle name="Comma 100" xfId="4"/>
    <cellStyle name="Comma 101" xfId="180"/>
    <cellStyle name="Comma 101 2" xfId="181"/>
    <cellStyle name="Comma 102" xfId="182"/>
    <cellStyle name="Comma 102 2" xfId="183"/>
    <cellStyle name="Comma 103" xfId="184"/>
    <cellStyle name="Comma 103 2" xfId="185"/>
    <cellStyle name="Comma 104" xfId="186"/>
    <cellStyle name="Comma 104 2" xfId="187"/>
    <cellStyle name="Comma 105" xfId="188"/>
    <cellStyle name="Comma 105 2" xfId="189"/>
    <cellStyle name="Comma 106" xfId="190"/>
    <cellStyle name="Comma 106 2" xfId="191"/>
    <cellStyle name="Comma 107" xfId="192"/>
    <cellStyle name="Comma 107 2" xfId="193"/>
    <cellStyle name="Comma 108" xfId="194"/>
    <cellStyle name="Comma 108 2" xfId="195"/>
    <cellStyle name="Comma 109" xfId="196"/>
    <cellStyle name="Comma 11" xfId="197"/>
    <cellStyle name="Comma 110" xfId="198"/>
    <cellStyle name="Comma 111" xfId="199"/>
    <cellStyle name="Comma 112" xfId="200"/>
    <cellStyle name="Comma 112 2" xfId="201"/>
    <cellStyle name="Comma 113" xfId="202"/>
    <cellStyle name="Comma 113 2" xfId="203"/>
    <cellStyle name="Comma 114" xfId="204"/>
    <cellStyle name="Comma 114 2" xfId="205"/>
    <cellStyle name="Comma 115" xfId="206"/>
    <cellStyle name="Comma 115 2" xfId="207"/>
    <cellStyle name="Comma 116" xfId="208"/>
    <cellStyle name="Comma 116 2" xfId="209"/>
    <cellStyle name="Comma 117" xfId="210"/>
    <cellStyle name="Comma 117 2" xfId="211"/>
    <cellStyle name="Comma 118" xfId="212"/>
    <cellStyle name="Comma 118 2" xfId="213"/>
    <cellStyle name="Comma 119" xfId="214"/>
    <cellStyle name="Comma 119 2" xfId="215"/>
    <cellStyle name="Comma 12" xfId="216"/>
    <cellStyle name="Comma 12 2" xfId="217"/>
    <cellStyle name="Comma 12 2 2" xfId="218"/>
    <cellStyle name="Comma 12 2 3" xfId="219"/>
    <cellStyle name="Comma 12 2 4" xfId="220"/>
    <cellStyle name="Comma 120" xfId="221"/>
    <cellStyle name="Comma 120 2" xfId="222"/>
    <cellStyle name="Comma 121" xfId="223"/>
    <cellStyle name="Comma 121 2" xfId="224"/>
    <cellStyle name="Comma 122" xfId="225"/>
    <cellStyle name="Comma 122 2" xfId="226"/>
    <cellStyle name="Comma 123" xfId="227"/>
    <cellStyle name="Comma 123 2" xfId="228"/>
    <cellStyle name="Comma 124" xfId="229"/>
    <cellStyle name="Comma 124 2" xfId="230"/>
    <cellStyle name="Comma 125" xfId="231"/>
    <cellStyle name="Comma 125 2" xfId="232"/>
    <cellStyle name="Comma 126" xfId="233"/>
    <cellStyle name="Comma 126 2" xfId="234"/>
    <cellStyle name="Comma 127" xfId="235"/>
    <cellStyle name="Comma 127 2" xfId="236"/>
    <cellStyle name="Comma 128" xfId="237"/>
    <cellStyle name="Comma 128 2" xfId="238"/>
    <cellStyle name="Comma 129" xfId="239"/>
    <cellStyle name="Comma 129 2" xfId="240"/>
    <cellStyle name="Comma 13" xfId="241"/>
    <cellStyle name="Comma 130" xfId="242"/>
    <cellStyle name="Comma 130 2" xfId="243"/>
    <cellStyle name="Comma 131" xfId="244"/>
    <cellStyle name="Comma 132" xfId="245"/>
    <cellStyle name="Comma 133" xfId="246"/>
    <cellStyle name="Comma 134" xfId="247"/>
    <cellStyle name="Comma 135" xfId="248"/>
    <cellStyle name="Comma 136" xfId="1120"/>
    <cellStyle name="Comma 14" xfId="249"/>
    <cellStyle name="Comma 15" xfId="250"/>
    <cellStyle name="Comma 156" xfId="1124"/>
    <cellStyle name="Comma 16" xfId="251"/>
    <cellStyle name="Comma 17" xfId="252"/>
    <cellStyle name="Comma 18" xfId="253"/>
    <cellStyle name="Comma 19" xfId="254"/>
    <cellStyle name="Comma 2" xfId="5"/>
    <cellStyle name="Comma 2 2" xfId="255"/>
    <cellStyle name="Comma 2 2 2" xfId="256"/>
    <cellStyle name="Comma 2 3" xfId="257"/>
    <cellStyle name="Comma 2 3 2" xfId="258"/>
    <cellStyle name="Comma 2 3 3" xfId="259"/>
    <cellStyle name="Comma 2 3 4" xfId="260"/>
    <cellStyle name="Comma 2 4" xfId="261"/>
    <cellStyle name="Comma 20" xfId="262"/>
    <cellStyle name="Comma 21" xfId="263"/>
    <cellStyle name="Comma 22" xfId="264"/>
    <cellStyle name="Comma 23" xfId="265"/>
    <cellStyle name="Comma 24" xfId="266"/>
    <cellStyle name="Comma 25" xfId="267"/>
    <cellStyle name="Comma 25 2" xfId="268"/>
    <cellStyle name="Comma 26" xfId="269"/>
    <cellStyle name="Comma 26 2" xfId="270"/>
    <cellStyle name="Comma 27" xfId="271"/>
    <cellStyle name="Comma 27 2" xfId="272"/>
    <cellStyle name="Comma 28" xfId="273"/>
    <cellStyle name="Comma 28 2" xfId="274"/>
    <cellStyle name="Comma 29" xfId="275"/>
    <cellStyle name="Comma 29 2" xfId="276"/>
    <cellStyle name="Comma 3" xfId="277"/>
    <cellStyle name="Comma 3 10" xfId="278"/>
    <cellStyle name="Comma 3 10 2" xfId="279"/>
    <cellStyle name="Comma 3 10 3" xfId="280"/>
    <cellStyle name="Comma 3 11" xfId="281"/>
    <cellStyle name="Comma 3 11 2" xfId="282"/>
    <cellStyle name="Comma 3 12" xfId="283"/>
    <cellStyle name="Comma 3 12 2" xfId="284"/>
    <cellStyle name="Comma 3 13" xfId="285"/>
    <cellStyle name="Comma 3 13 2" xfId="286"/>
    <cellStyle name="Comma 3 14" xfId="287"/>
    <cellStyle name="Comma 3 2" xfId="288"/>
    <cellStyle name="Comma 3 2 2" xfId="289"/>
    <cellStyle name="Comma 3 3" xfId="290"/>
    <cellStyle name="Comma 3 3 2" xfId="291"/>
    <cellStyle name="Comma 3 3 2 2" xfId="292"/>
    <cellStyle name="Comma 3 3 2 3" xfId="293"/>
    <cellStyle name="Comma 3 3 3" xfId="294"/>
    <cellStyle name="Comma 3 3 3 2" xfId="295"/>
    <cellStyle name="Comma 3 3 3 2 2" xfId="296"/>
    <cellStyle name="Comma 3 3 3 2 3" xfId="297"/>
    <cellStyle name="Comma 3 3 3 2 4" xfId="298"/>
    <cellStyle name="Comma 3 3 3 2 5" xfId="299"/>
    <cellStyle name="Comma 3 3 3 3" xfId="300"/>
    <cellStyle name="Comma 3 3 4" xfId="301"/>
    <cellStyle name="Comma 3 3 5" xfId="302"/>
    <cellStyle name="Comma 3 3 5 2" xfId="303"/>
    <cellStyle name="Comma 3 3 5 3" xfId="304"/>
    <cellStyle name="Comma 3 3 5 4" xfId="305"/>
    <cellStyle name="Comma 3 3 5 5" xfId="306"/>
    <cellStyle name="Comma 3 3 6" xfId="307"/>
    <cellStyle name="Comma 3 4" xfId="308"/>
    <cellStyle name="Comma 3 4 2" xfId="309"/>
    <cellStyle name="Comma 3 4 2 2" xfId="1128"/>
    <cellStyle name="Comma 3 4 3" xfId="310"/>
    <cellStyle name="Comma 3 4 4" xfId="311"/>
    <cellStyle name="Comma 3 4 4 2" xfId="312"/>
    <cellStyle name="Comma 3 4 4 3" xfId="313"/>
    <cellStyle name="Comma 3 4 4 4" xfId="314"/>
    <cellStyle name="Comma 3 4 4 5" xfId="315"/>
    <cellStyle name="Comma 3 4 5" xfId="316"/>
    <cellStyle name="Comma 3 4 7" xfId="1126"/>
    <cellStyle name="Comma 3 5" xfId="317"/>
    <cellStyle name="Comma 3 5 2" xfId="318"/>
    <cellStyle name="Comma 3 5 3" xfId="319"/>
    <cellStyle name="Comma 3 5 3 2" xfId="320"/>
    <cellStyle name="Comma 3 5 3 3" xfId="321"/>
    <cellStyle name="Comma 3 6" xfId="322"/>
    <cellStyle name="Comma 3 6 2" xfId="323"/>
    <cellStyle name="Comma 3 7" xfId="324"/>
    <cellStyle name="Comma 3 7 2" xfId="325"/>
    <cellStyle name="Comma 3 8" xfId="326"/>
    <cellStyle name="Comma 3 9" xfId="327"/>
    <cellStyle name="Comma 30" xfId="328"/>
    <cellStyle name="Comma 31" xfId="329"/>
    <cellStyle name="Comma 32" xfId="330"/>
    <cellStyle name="Comma 33" xfId="331"/>
    <cellStyle name="Comma 34" xfId="332"/>
    <cellStyle name="Comma 35" xfId="333"/>
    <cellStyle name="Comma 36" xfId="334"/>
    <cellStyle name="Comma 37" xfId="335"/>
    <cellStyle name="Comma 38" xfId="336"/>
    <cellStyle name="Comma 39" xfId="337"/>
    <cellStyle name="Comma 4" xfId="338"/>
    <cellStyle name="Comma 4 2" xfId="339"/>
    <cellStyle name="Comma 4 2 2" xfId="340"/>
    <cellStyle name="Comma 4 2 2 2" xfId="341"/>
    <cellStyle name="Comma 4 2 2 3" xfId="342"/>
    <cellStyle name="Comma 4 2 2 4" xfId="343"/>
    <cellStyle name="Comma 4 2 2 5" xfId="344"/>
    <cellStyle name="Comma 4 2 3" xfId="345"/>
    <cellStyle name="Comma 4 2 3 2" xfId="346"/>
    <cellStyle name="Comma 4 2 3 2 2" xfId="347"/>
    <cellStyle name="Comma 4 2 3 3" xfId="348"/>
    <cellStyle name="Comma 4 2 3 3 2" xfId="349"/>
    <cellStyle name="Comma 4 2 3 4" xfId="350"/>
    <cellStyle name="Comma 4 2 4" xfId="351"/>
    <cellStyle name="Comma 4 2 4 2" xfId="352"/>
    <cellStyle name="Comma 4 2 4 3" xfId="353"/>
    <cellStyle name="Comma 4 2 4 4" xfId="354"/>
    <cellStyle name="Comma 4 2 5" xfId="355"/>
    <cellStyle name="Comma 4 2 6" xfId="356"/>
    <cellStyle name="Comma 4 2 7" xfId="357"/>
    <cellStyle name="Comma 4 3" xfId="358"/>
    <cellStyle name="Comma 4 3 2" xfId="359"/>
    <cellStyle name="Comma 4 3 2 2" xfId="360"/>
    <cellStyle name="Comma 4 3 2 2 2" xfId="361"/>
    <cellStyle name="Comma 4 3 2 3" xfId="362"/>
    <cellStyle name="Comma 4 3 2 3 2" xfId="363"/>
    <cellStyle name="Comma 4 3 2 4" xfId="364"/>
    <cellStyle name="Comma 4 3 3" xfId="365"/>
    <cellStyle name="Comma 4 3 4" xfId="366"/>
    <cellStyle name="Comma 4 3 4 2" xfId="367"/>
    <cellStyle name="Comma 4 3 4 3" xfId="368"/>
    <cellStyle name="Comma 4 3 5" xfId="369"/>
    <cellStyle name="Comma 4 3 5 2" xfId="370"/>
    <cellStyle name="Comma 4 3 6" xfId="371"/>
    <cellStyle name="Comma 4 3 6 2" xfId="372"/>
    <cellStyle name="Comma 4 3 7" xfId="373"/>
    <cellStyle name="Comma 4 4" xfId="374"/>
    <cellStyle name="Comma 4 4 2" xfId="375"/>
    <cellStyle name="Comma 4 4 3" xfId="376"/>
    <cellStyle name="Comma 4 4 4" xfId="377"/>
    <cellStyle name="Comma 4 4 5" xfId="378"/>
    <cellStyle name="Comma 4 5" xfId="379"/>
    <cellStyle name="Comma 4 5 2" xfId="380"/>
    <cellStyle name="Comma 4 6" xfId="381"/>
    <cellStyle name="Comma 4 7" xfId="382"/>
    <cellStyle name="Comma 4 7 2" xfId="383"/>
    <cellStyle name="Comma 4 7 3" xfId="384"/>
    <cellStyle name="Comma 4 8" xfId="385"/>
    <cellStyle name="Comma 40" xfId="386"/>
    <cellStyle name="Comma 41" xfId="387"/>
    <cellStyle name="Comma 42" xfId="388"/>
    <cellStyle name="Comma 43" xfId="389"/>
    <cellStyle name="Comma 44" xfId="390"/>
    <cellStyle name="Comma 45" xfId="391"/>
    <cellStyle name="Comma 46" xfId="392"/>
    <cellStyle name="Comma 47" xfId="393"/>
    <cellStyle name="Comma 48" xfId="394"/>
    <cellStyle name="Comma 49" xfId="395"/>
    <cellStyle name="Comma 5" xfId="396"/>
    <cellStyle name="Comma 5 2" xfId="397"/>
    <cellStyle name="Comma 5 2 2" xfId="398"/>
    <cellStyle name="Comma 5 2 3" xfId="399"/>
    <cellStyle name="Comma 5 3" xfId="400"/>
    <cellStyle name="Comma 50" xfId="401"/>
    <cellStyle name="Comma 51" xfId="402"/>
    <cellStyle name="Comma 52" xfId="403"/>
    <cellStyle name="Comma 52 2" xfId="404"/>
    <cellStyle name="Comma 53" xfId="405"/>
    <cellStyle name="Comma 54" xfId="406"/>
    <cellStyle name="Comma 55" xfId="407"/>
    <cellStyle name="Comma 56" xfId="408"/>
    <cellStyle name="Comma 57" xfId="409"/>
    <cellStyle name="Comma 57 2" xfId="410"/>
    <cellStyle name="Comma 57 3" xfId="411"/>
    <cellStyle name="Comma 57 4" xfId="412"/>
    <cellStyle name="Comma 57 5" xfId="413"/>
    <cellStyle name="Comma 58" xfId="414"/>
    <cellStyle name="Comma 58 2" xfId="415"/>
    <cellStyle name="Comma 58 3" xfId="416"/>
    <cellStyle name="Comma 58 4" xfId="417"/>
    <cellStyle name="Comma 58 5" xfId="418"/>
    <cellStyle name="Comma 59" xfId="419"/>
    <cellStyle name="Comma 59 2" xfId="420"/>
    <cellStyle name="Comma 59 3" xfId="421"/>
    <cellStyle name="Comma 59 4" xfId="422"/>
    <cellStyle name="Comma 59 5" xfId="423"/>
    <cellStyle name="Comma 6" xfId="424"/>
    <cellStyle name="Comma 6 2" xfId="425"/>
    <cellStyle name="Comma 6 3" xfId="426"/>
    <cellStyle name="Comma 6 3 2" xfId="427"/>
    <cellStyle name="Comma 6 4" xfId="428"/>
    <cellStyle name="Comma 6 4 2" xfId="429"/>
    <cellStyle name="Comma 6 4 3" xfId="430"/>
    <cellStyle name="Comma 6 4 4" xfId="431"/>
    <cellStyle name="Comma 6 4 5" xfId="432"/>
    <cellStyle name="Comma 6 5" xfId="433"/>
    <cellStyle name="Comma 6 6" xfId="434"/>
    <cellStyle name="Comma 6 7" xfId="435"/>
    <cellStyle name="Comma 6 7 2" xfId="436"/>
    <cellStyle name="Comma 6 7 3" xfId="437"/>
    <cellStyle name="Comma 6 8" xfId="438"/>
    <cellStyle name="Comma 60" xfId="439"/>
    <cellStyle name="Comma 60 2" xfId="440"/>
    <cellStyle name="Comma 60 3" xfId="441"/>
    <cellStyle name="Comma 60 4" xfId="442"/>
    <cellStyle name="Comma 60 5" xfId="443"/>
    <cellStyle name="Comma 61" xfId="444"/>
    <cellStyle name="Comma 61 2" xfId="445"/>
    <cellStyle name="Comma 61 3" xfId="446"/>
    <cellStyle name="Comma 61 4" xfId="447"/>
    <cellStyle name="Comma 61 5" xfId="448"/>
    <cellStyle name="Comma 62" xfId="449"/>
    <cellStyle name="Comma 62 2" xfId="450"/>
    <cellStyle name="Comma 62 3" xfId="451"/>
    <cellStyle name="Comma 62 4" xfId="452"/>
    <cellStyle name="Comma 63" xfId="453"/>
    <cellStyle name="Comma 63 2" xfId="454"/>
    <cellStyle name="Comma 63 3" xfId="455"/>
    <cellStyle name="Comma 63 4" xfId="456"/>
    <cellStyle name="Comma 64" xfId="457"/>
    <cellStyle name="Comma 64 2" xfId="458"/>
    <cellStyle name="Comma 64 3" xfId="459"/>
    <cellStyle name="Comma 64 4" xfId="460"/>
    <cellStyle name="Comma 65" xfId="461"/>
    <cellStyle name="Comma 65 2" xfId="462"/>
    <cellStyle name="Comma 65 3" xfId="463"/>
    <cellStyle name="Comma 65 4" xfId="464"/>
    <cellStyle name="Comma 66" xfId="465"/>
    <cellStyle name="Comma 66 2" xfId="466"/>
    <cellStyle name="Comma 66 3" xfId="467"/>
    <cellStyle name="Comma 66 4" xfId="468"/>
    <cellStyle name="Comma 67" xfId="469"/>
    <cellStyle name="Comma 67 2" xfId="470"/>
    <cellStyle name="Comma 67 3" xfId="471"/>
    <cellStyle name="Comma 67 4" xfId="472"/>
    <cellStyle name="Comma 68" xfId="473"/>
    <cellStyle name="Comma 68 2" xfId="474"/>
    <cellStyle name="Comma 68 3" xfId="475"/>
    <cellStyle name="Comma 68 4" xfId="476"/>
    <cellStyle name="Comma 69" xfId="477"/>
    <cellStyle name="Comma 69 2" xfId="478"/>
    <cellStyle name="Comma 7" xfId="479"/>
    <cellStyle name="Comma 7 2" xfId="480"/>
    <cellStyle name="Comma 70" xfId="481"/>
    <cellStyle name="Comma 70 2" xfId="482"/>
    <cellStyle name="Comma 71" xfId="483"/>
    <cellStyle name="Comma 71 2" xfId="484"/>
    <cellStyle name="Comma 72" xfId="485"/>
    <cellStyle name="Comma 73" xfId="486"/>
    <cellStyle name="Comma 74" xfId="487"/>
    <cellStyle name="Comma 75" xfId="488"/>
    <cellStyle name="Comma 76" xfId="489"/>
    <cellStyle name="Comma 77" xfId="490"/>
    <cellStyle name="Comma 78" xfId="491"/>
    <cellStyle name="Comma 79" xfId="492"/>
    <cellStyle name="Comma 8" xfId="493"/>
    <cellStyle name="Comma 80" xfId="494"/>
    <cellStyle name="Comma 81" xfId="495"/>
    <cellStyle name="Comma 82" xfId="496"/>
    <cellStyle name="Comma 83" xfId="497"/>
    <cellStyle name="Comma 84" xfId="498"/>
    <cellStyle name="Comma 85" xfId="499"/>
    <cellStyle name="Comma 86" xfId="500"/>
    <cellStyle name="Comma 87" xfId="501"/>
    <cellStyle name="Comma 88" xfId="502"/>
    <cellStyle name="Comma 89" xfId="503"/>
    <cellStyle name="Comma 9" xfId="504"/>
    <cellStyle name="Comma 90" xfId="505"/>
    <cellStyle name="Comma 91" xfId="506"/>
    <cellStyle name="Comma 92" xfId="507"/>
    <cellStyle name="Comma 92 2" xfId="508"/>
    <cellStyle name="Comma 92 3" xfId="509"/>
    <cellStyle name="Comma 93" xfId="510"/>
    <cellStyle name="Comma 93 2" xfId="511"/>
    <cellStyle name="Comma 93 3" xfId="512"/>
    <cellStyle name="Comma 94" xfId="513"/>
    <cellStyle name="Comma 95" xfId="514"/>
    <cellStyle name="Comma 96" xfId="515"/>
    <cellStyle name="Comma 97" xfId="516"/>
    <cellStyle name="Comma 98" xfId="517"/>
    <cellStyle name="Comma 99" xfId="518"/>
    <cellStyle name="Comma0" xfId="519"/>
    <cellStyle name="Comma0 2" xfId="520"/>
    <cellStyle name="Comma0 2 2" xfId="521"/>
    <cellStyle name="Comma0 2 3" xfId="522"/>
    <cellStyle name="Comma0 2 4" xfId="523"/>
    <cellStyle name="Comma0 2 5" xfId="524"/>
    <cellStyle name="Comma0 2 6" xfId="525"/>
    <cellStyle name="Comma0 3" xfId="526"/>
    <cellStyle name="Currency 10" xfId="527"/>
    <cellStyle name="Currency 11" xfId="528"/>
    <cellStyle name="Currency 11 2" xfId="529"/>
    <cellStyle name="Currency 11 3" xfId="530"/>
    <cellStyle name="Currency 12" xfId="531"/>
    <cellStyle name="Currency 12 2" xfId="532"/>
    <cellStyle name="Currency 13" xfId="533"/>
    <cellStyle name="Currency 14" xfId="1131"/>
    <cellStyle name="Currency 2" xfId="534"/>
    <cellStyle name="Currency 2 2" xfId="535"/>
    <cellStyle name="Currency 2 2 2" xfId="536"/>
    <cellStyle name="Currency 2 3" xfId="537"/>
    <cellStyle name="Currency 3" xfId="538"/>
    <cellStyle name="Currency 3 10" xfId="539"/>
    <cellStyle name="Currency 3 10 2" xfId="540"/>
    <cellStyle name="Currency 3 10 3" xfId="541"/>
    <cellStyle name="Currency 3 11" xfId="542"/>
    <cellStyle name="Currency 3 11 2" xfId="543"/>
    <cellStyle name="Currency 3 12" xfId="544"/>
    <cellStyle name="Currency 3 12 2" xfId="545"/>
    <cellStyle name="Currency 3 13" xfId="546"/>
    <cellStyle name="Currency 3 13 2" xfId="547"/>
    <cellStyle name="Currency 3 14" xfId="548"/>
    <cellStyle name="Currency 3 2" xfId="549"/>
    <cellStyle name="Currency 3 2 2" xfId="550"/>
    <cellStyle name="Currency 3 3" xfId="551"/>
    <cellStyle name="Currency 3 3 2" xfId="552"/>
    <cellStyle name="Currency 3 3 2 2" xfId="553"/>
    <cellStyle name="Currency 3 3 2 3" xfId="554"/>
    <cellStyle name="Currency 3 3 3" xfId="555"/>
    <cellStyle name="Currency 3 3 3 2" xfId="556"/>
    <cellStyle name="Currency 3 3 3 2 2" xfId="557"/>
    <cellStyle name="Currency 3 3 3 2 3" xfId="558"/>
    <cellStyle name="Currency 3 3 3 2 4" xfId="559"/>
    <cellStyle name="Currency 3 3 3 2 5" xfId="560"/>
    <cellStyle name="Currency 3 3 3 3" xfId="561"/>
    <cellStyle name="Currency 3 3 4" xfId="562"/>
    <cellStyle name="Currency 3 3 5" xfId="563"/>
    <cellStyle name="Currency 3 3 5 2" xfId="564"/>
    <cellStyle name="Currency 3 3 5 3" xfId="565"/>
    <cellStyle name="Currency 3 3 5 4" xfId="566"/>
    <cellStyle name="Currency 3 3 5 5" xfId="567"/>
    <cellStyle name="Currency 3 3 6" xfId="568"/>
    <cellStyle name="Currency 3 4" xfId="569"/>
    <cellStyle name="Currency 3 4 2" xfId="570"/>
    <cellStyle name="Currency 3 4 3" xfId="571"/>
    <cellStyle name="Currency 3 4 4" xfId="572"/>
    <cellStyle name="Currency 3 4 4 2" xfId="573"/>
    <cellStyle name="Currency 3 4 4 3" xfId="574"/>
    <cellStyle name="Currency 3 4 4 4" xfId="575"/>
    <cellStyle name="Currency 3 4 4 5" xfId="576"/>
    <cellStyle name="Currency 3 4 5" xfId="577"/>
    <cellStyle name="Currency 3 5" xfId="578"/>
    <cellStyle name="Currency 3 5 2" xfId="579"/>
    <cellStyle name="Currency 3 6" xfId="580"/>
    <cellStyle name="Currency 3 6 2" xfId="581"/>
    <cellStyle name="Currency 3 7" xfId="582"/>
    <cellStyle name="Currency 3 8" xfId="583"/>
    <cellStyle name="Currency 3 9" xfId="584"/>
    <cellStyle name="Currency 4" xfId="585"/>
    <cellStyle name="Currency 4 10" xfId="586"/>
    <cellStyle name="Currency 4 10 2" xfId="587"/>
    <cellStyle name="Currency 4 10 2 2" xfId="588"/>
    <cellStyle name="Currency 4 10 2 2 2" xfId="589"/>
    <cellStyle name="Currency 4 10 2 3" xfId="590"/>
    <cellStyle name="Currency 4 10 2 3 2" xfId="591"/>
    <cellStyle name="Currency 4 10 2 4" xfId="592"/>
    <cellStyle name="Currency 4 10 2 5" xfId="593"/>
    <cellStyle name="Currency 4 10 2 6" xfId="594"/>
    <cellStyle name="Currency 4 10 3" xfId="595"/>
    <cellStyle name="Currency 4 10 3 2" xfId="596"/>
    <cellStyle name="Currency 4 10 4" xfId="597"/>
    <cellStyle name="Currency 4 10 4 2" xfId="598"/>
    <cellStyle name="Currency 4 10 4 3" xfId="599"/>
    <cellStyle name="Currency 4 10 5" xfId="600"/>
    <cellStyle name="Currency 4 10 5 2" xfId="601"/>
    <cellStyle name="Currency 4 10 6" xfId="602"/>
    <cellStyle name="Currency 4 2" xfId="603"/>
    <cellStyle name="Currency 4 2 2" xfId="604"/>
    <cellStyle name="Currency 4 2 3" xfId="605"/>
    <cellStyle name="Currency 4 3" xfId="606"/>
    <cellStyle name="Currency 4 3 2" xfId="607"/>
    <cellStyle name="Currency 4 3 2 2" xfId="608"/>
    <cellStyle name="Currency 4 3 2 3" xfId="609"/>
    <cellStyle name="Currency 4 3 2 4" xfId="610"/>
    <cellStyle name="Currency 4 3 2 5" xfId="611"/>
    <cellStyle name="Currency 4 3 3" xfId="612"/>
    <cellStyle name="Currency 4 4" xfId="613"/>
    <cellStyle name="Currency 4 5" xfId="614"/>
    <cellStyle name="Currency 4 5 2" xfId="615"/>
    <cellStyle name="Currency 4 5 3" xfId="616"/>
    <cellStyle name="Currency 4 5 4" xfId="617"/>
    <cellStyle name="Currency 4 5 5" xfId="618"/>
    <cellStyle name="Currency 4 6" xfId="619"/>
    <cellStyle name="Currency 5" xfId="620"/>
    <cellStyle name="Currency 5 2" xfId="621"/>
    <cellStyle name="Currency 5 3" xfId="622"/>
    <cellStyle name="Currency 5 4" xfId="623"/>
    <cellStyle name="Currency 5 4 2" xfId="624"/>
    <cellStyle name="Currency 5 4 3" xfId="625"/>
    <cellStyle name="Currency 5 4 4" xfId="626"/>
    <cellStyle name="Currency 5 4 5" xfId="627"/>
    <cellStyle name="Currency 5 5" xfId="628"/>
    <cellStyle name="Currency 6" xfId="629"/>
    <cellStyle name="Currency 6 2" xfId="630"/>
    <cellStyle name="Currency 6 3" xfId="631"/>
    <cellStyle name="Currency 6 3 2" xfId="632"/>
    <cellStyle name="Currency 6 3 3" xfId="633"/>
    <cellStyle name="Currency 6 3 4" xfId="634"/>
    <cellStyle name="Currency 6 3 5" xfId="635"/>
    <cellStyle name="Currency 6 4" xfId="636"/>
    <cellStyle name="Currency 6 4 2" xfId="637"/>
    <cellStyle name="Currency 6 4 3" xfId="638"/>
    <cellStyle name="Currency 6 5" xfId="639"/>
    <cellStyle name="Currency 7" xfId="640"/>
    <cellStyle name="Currency 8" xfId="641"/>
    <cellStyle name="Currency 9" xfId="642"/>
    <cellStyle name="Currency0" xfId="643"/>
    <cellStyle name="Currency0 2" xfId="644"/>
    <cellStyle name="Currency0 2 2" xfId="645"/>
    <cellStyle name="Currency0 2 3" xfId="646"/>
    <cellStyle name="Currency0 2 4" xfId="647"/>
    <cellStyle name="Currency0 2 5" xfId="648"/>
    <cellStyle name="Currency0 2 6" xfId="649"/>
    <cellStyle name="Currency0 3" xfId="650"/>
    <cellStyle name="Date" xfId="651"/>
    <cellStyle name="Date 2" xfId="652"/>
    <cellStyle name="Date 2 2" xfId="653"/>
    <cellStyle name="Date 2 3" xfId="654"/>
    <cellStyle name="Date 2 4" xfId="655"/>
    <cellStyle name="Date 2 5" xfId="656"/>
    <cellStyle name="Date 2 6" xfId="657"/>
    <cellStyle name="Date 3" xfId="658"/>
    <cellStyle name="Explanatory Text 2" xfId="659"/>
    <cellStyle name="Explanatory Text 2 2" xfId="660"/>
    <cellStyle name="Explanatory Text 2 3" xfId="661"/>
    <cellStyle name="Explanatory Text 2 4" xfId="662"/>
    <cellStyle name="Explanatory Text 2 5" xfId="663"/>
    <cellStyle name="Fixed" xfId="664"/>
    <cellStyle name="Fixed 2" xfId="665"/>
    <cellStyle name="Fixed 2 2" xfId="666"/>
    <cellStyle name="Fixed 2 3" xfId="667"/>
    <cellStyle name="Fixed 2 4" xfId="668"/>
    <cellStyle name="Fixed 2 5" xfId="669"/>
    <cellStyle name="Fixed 2 6" xfId="670"/>
    <cellStyle name="Fixed 3" xfId="671"/>
    <cellStyle name="Good 2" xfId="672"/>
    <cellStyle name="Good 2 2" xfId="673"/>
    <cellStyle name="Good 2 3" xfId="674"/>
    <cellStyle name="Good 2 4" xfId="675"/>
    <cellStyle name="Good 2 5" xfId="676"/>
    <cellStyle name="Heading 1 2" xfId="677"/>
    <cellStyle name="Heading 1 2 2" xfId="678"/>
    <cellStyle name="Heading 1 2 3" xfId="679"/>
    <cellStyle name="Heading 1 2 4" xfId="680"/>
    <cellStyle name="Heading 1 2 5" xfId="681"/>
    <cellStyle name="Heading 1 3" xfId="682"/>
    <cellStyle name="Heading 1 3 2" xfId="683"/>
    <cellStyle name="Heading 2 2" xfId="684"/>
    <cellStyle name="Heading 2 2 2" xfId="685"/>
    <cellStyle name="Heading 2 2 3" xfId="686"/>
    <cellStyle name="Heading 2 2 4" xfId="687"/>
    <cellStyle name="Heading 2 2 5" xfId="688"/>
    <cellStyle name="Heading 2 3" xfId="689"/>
    <cellStyle name="Heading 2 3 2" xfId="690"/>
    <cellStyle name="Heading 3 2" xfId="691"/>
    <cellStyle name="Heading 3 2 2" xfId="692"/>
    <cellStyle name="Heading 3 2 3" xfId="693"/>
    <cellStyle name="Heading 3 2 4" xfId="694"/>
    <cellStyle name="Heading 3 2 5" xfId="695"/>
    <cellStyle name="Heading 4 2" xfId="696"/>
    <cellStyle name="Heading 4 2 2" xfId="697"/>
    <cellStyle name="Heading 4 2 3" xfId="698"/>
    <cellStyle name="Heading 4 2 4" xfId="699"/>
    <cellStyle name="Heading 4 2 5" xfId="700"/>
    <cellStyle name="Heading1" xfId="701"/>
    <cellStyle name="Heading2" xfId="702"/>
    <cellStyle name="Input 2" xfId="703"/>
    <cellStyle name="Input 2 2" xfId="704"/>
    <cellStyle name="Input 2 3" xfId="705"/>
    <cellStyle name="Input 2 4" xfId="706"/>
    <cellStyle name="Input 2 5" xfId="707"/>
    <cellStyle name="Linked Cell 2" xfId="708"/>
    <cellStyle name="Linked Cell 2 2" xfId="709"/>
    <cellStyle name="Linked Cell 2 3" xfId="710"/>
    <cellStyle name="Linked Cell 2 4" xfId="711"/>
    <cellStyle name="Linked Cell 2 5" xfId="712"/>
    <cellStyle name="M" xfId="713"/>
    <cellStyle name="M 2" xfId="714"/>
    <cellStyle name="M 2 2" xfId="715"/>
    <cellStyle name="M 2 2 2" xfId="716"/>
    <cellStyle name="M 3" xfId="717"/>
    <cellStyle name="M 3 2" xfId="718"/>
    <cellStyle name="M 3 2 2" xfId="719"/>
    <cellStyle name="M 4" xfId="720"/>
    <cellStyle name="M 5" xfId="721"/>
    <cellStyle name="M 5 2" xfId="722"/>
    <cellStyle name="M 6" xfId="723"/>
    <cellStyle name="M 6 2" xfId="724"/>
    <cellStyle name="M 7" xfId="725"/>
    <cellStyle name="Neutral 2" xfId="726"/>
    <cellStyle name="Neutral 2 2" xfId="727"/>
    <cellStyle name="Neutral 2 3" xfId="728"/>
    <cellStyle name="Neutral 2 4" xfId="729"/>
    <cellStyle name="Neutral 2 5" xfId="730"/>
    <cellStyle name="Normal" xfId="0" builtinId="0"/>
    <cellStyle name="Normal 10" xfId="731"/>
    <cellStyle name="Normal 10 2" xfId="732"/>
    <cellStyle name="Normal 10 2 2" xfId="733"/>
    <cellStyle name="Normal 10 3" xfId="734"/>
    <cellStyle name="Normal 11" xfId="735"/>
    <cellStyle name="Normal 11 2" xfId="736"/>
    <cellStyle name="Normal 11 2 2" xfId="737"/>
    <cellStyle name="Normal 11 3" xfId="738"/>
    <cellStyle name="Normal 11 3 2" xfId="739"/>
    <cellStyle name="Normal 11 4" xfId="740"/>
    <cellStyle name="Normal 12" xfId="741"/>
    <cellStyle name="Normal 12 2" xfId="742"/>
    <cellStyle name="Normal 12 2 2" xfId="743"/>
    <cellStyle name="Normal 12 3" xfId="744"/>
    <cellStyle name="Normal 12 4" xfId="745"/>
    <cellStyle name="Normal 12 4 2" xfId="746"/>
    <cellStyle name="Normal 12 5" xfId="747"/>
    <cellStyle name="Normal 13" xfId="748"/>
    <cellStyle name="Normal 13 2" xfId="749"/>
    <cellStyle name="Normal 14" xfId="750"/>
    <cellStyle name="Normal 14 2" xfId="751"/>
    <cellStyle name="Normal 15" xfId="752"/>
    <cellStyle name="Normal 16" xfId="753"/>
    <cellStyle name="Normal 16 2" xfId="754"/>
    <cellStyle name="Normal 17" xfId="755"/>
    <cellStyle name="Normal 17 2" xfId="756"/>
    <cellStyle name="Normal 18" xfId="757"/>
    <cellStyle name="Normal 18 2" xfId="758"/>
    <cellStyle name="Normal 19" xfId="759"/>
    <cellStyle name="Normal 19 2" xfId="760"/>
    <cellStyle name="Normal 2" xfId="2"/>
    <cellStyle name="Normal 2 2" xfId="761"/>
    <cellStyle name="Normal 2 2 2" xfId="762"/>
    <cellStyle name="Normal 2 2 2 2" xfId="763"/>
    <cellStyle name="Normal 2 2 3" xfId="764"/>
    <cellStyle name="Normal 2 2 3 2" xfId="765"/>
    <cellStyle name="Normal 2 2 4" xfId="766"/>
    <cellStyle name="Normal 2 3" xfId="767"/>
    <cellStyle name="Normal 2 5" xfId="768"/>
    <cellStyle name="Normal 2 5 2" xfId="769"/>
    <cellStyle name="Normal 20" xfId="770"/>
    <cellStyle name="Normal 20 2" xfId="771"/>
    <cellStyle name="Normal 21" xfId="772"/>
    <cellStyle name="Normal 21 2" xfId="773"/>
    <cellStyle name="Normal 22" xfId="774"/>
    <cellStyle name="Normal 22 2" xfId="775"/>
    <cellStyle name="Normal 23" xfId="776"/>
    <cellStyle name="Normal 23 2" xfId="777"/>
    <cellStyle name="Normal 24" xfId="778"/>
    <cellStyle name="Normal 24 2" xfId="779"/>
    <cellStyle name="Normal 25" xfId="780"/>
    <cellStyle name="Normal 25 2" xfId="781"/>
    <cellStyle name="Normal 26" xfId="782"/>
    <cellStyle name="Normal 26 2" xfId="783"/>
    <cellStyle name="Normal 27" xfId="784"/>
    <cellStyle name="Normal 28" xfId="785"/>
    <cellStyle name="Normal 28 2" xfId="786"/>
    <cellStyle name="Normal 29" xfId="787"/>
    <cellStyle name="Normal 29 2" xfId="788"/>
    <cellStyle name="Normal 3" xfId="789"/>
    <cellStyle name="Normal 3 2" xfId="790"/>
    <cellStyle name="Normal 3 2 2" xfId="791"/>
    <cellStyle name="Normal 3 2 3" xfId="792"/>
    <cellStyle name="Normal 3 3" xfId="793"/>
    <cellStyle name="Normal 3 3 2" xfId="794"/>
    <cellStyle name="Normal 3 3 3" xfId="795"/>
    <cellStyle name="Normal 3 3 4" xfId="796"/>
    <cellStyle name="Normal 3 3 5" xfId="797"/>
    <cellStyle name="Normal 3_Attach O, GG, Support -New Method 2-14-11" xfId="798"/>
    <cellStyle name="Normal 30" xfId="1123"/>
    <cellStyle name="Normal 35" xfId="799"/>
    <cellStyle name="Normal 4" xfId="800"/>
    <cellStyle name="Normal 4 10" xfId="801"/>
    <cellStyle name="Normal 4 10 2" xfId="802"/>
    <cellStyle name="Normal 4 10 3" xfId="803"/>
    <cellStyle name="Normal 4 11" xfId="804"/>
    <cellStyle name="Normal 4 11 2" xfId="805"/>
    <cellStyle name="Normal 4 12" xfId="806"/>
    <cellStyle name="Normal 4 12 2" xfId="807"/>
    <cellStyle name="Normal 4 13" xfId="808"/>
    <cellStyle name="Normal 4 13 2" xfId="809"/>
    <cellStyle name="Normal 4 14" xfId="810"/>
    <cellStyle name="Normal 4 2" xfId="811"/>
    <cellStyle name="Normal 4 2 2" xfId="812"/>
    <cellStyle name="Normal 4 3" xfId="813"/>
    <cellStyle name="Normal 4 3 2" xfId="814"/>
    <cellStyle name="Normal 4 3 2 2" xfId="815"/>
    <cellStyle name="Normal 4 3 2 3" xfId="816"/>
    <cellStyle name="Normal 4 3 3" xfId="817"/>
    <cellStyle name="Normal 4 3 3 2" xfId="818"/>
    <cellStyle name="Normal 4 3 3 2 2" xfId="819"/>
    <cellStyle name="Normal 4 3 3 2 3" xfId="820"/>
    <cellStyle name="Normal 4 3 3 2 4" xfId="821"/>
    <cellStyle name="Normal 4 3 3 2 5" xfId="822"/>
    <cellStyle name="Normal 4 3 3 3" xfId="823"/>
    <cellStyle name="Normal 4 3 4" xfId="824"/>
    <cellStyle name="Normal 4 3 5" xfId="825"/>
    <cellStyle name="Normal 4 3 5 2" xfId="826"/>
    <cellStyle name="Normal 4 3 5 3" xfId="827"/>
    <cellStyle name="Normal 4 3 5 4" xfId="828"/>
    <cellStyle name="Normal 4 3 5 5" xfId="829"/>
    <cellStyle name="Normal 4 3 6" xfId="830"/>
    <cellStyle name="Normal 4 4" xfId="831"/>
    <cellStyle name="Normal 4 4 2" xfId="832"/>
    <cellStyle name="Normal 4 4 3" xfId="833"/>
    <cellStyle name="Normal 4 4 4" xfId="834"/>
    <cellStyle name="Normal 4 4 4 2" xfId="835"/>
    <cellStyle name="Normal 4 4 4 3" xfId="836"/>
    <cellStyle name="Normal 4 4 4 4" xfId="837"/>
    <cellStyle name="Normal 4 4 4 5" xfId="838"/>
    <cellStyle name="Normal 4 4 5" xfId="839"/>
    <cellStyle name="Normal 4 5" xfId="840"/>
    <cellStyle name="Normal 4 5 2" xfId="841"/>
    <cellStyle name="Normal 4 5 2 2" xfId="842"/>
    <cellStyle name="Normal 4 5 2 2 2" xfId="843"/>
    <cellStyle name="Normal 4 5 2 2 3" xfId="844"/>
    <cellStyle name="Normal 4 5 2 2 4" xfId="845"/>
    <cellStyle name="Normal 4 5 2 2 5" xfId="846"/>
    <cellStyle name="Normal 4 5 3" xfId="847"/>
    <cellStyle name="Normal 4 6" xfId="848"/>
    <cellStyle name="Normal 4 6 2" xfId="849"/>
    <cellStyle name="Normal 4 7" xfId="850"/>
    <cellStyle name="Normal 4 7 2" xfId="851"/>
    <cellStyle name="Normal 4 8" xfId="852"/>
    <cellStyle name="Normal 4 9" xfId="853"/>
    <cellStyle name="Normal 4_PBOP Exhibit 1" xfId="854"/>
    <cellStyle name="Normal 5" xfId="855"/>
    <cellStyle name="Normal 5 2" xfId="856"/>
    <cellStyle name="Normal 5 2 2" xfId="857"/>
    <cellStyle name="Normal 5 2 2 2" xfId="858"/>
    <cellStyle name="Normal 5 2 3" xfId="859"/>
    <cellStyle name="Normal 5 2 4" xfId="860"/>
    <cellStyle name="Normal 5 2 5" xfId="861"/>
    <cellStyle name="Normal 5 2 6" xfId="862"/>
    <cellStyle name="Normal 5 3" xfId="863"/>
    <cellStyle name="Normal 5 4" xfId="864"/>
    <cellStyle name="Normal 6" xfId="865"/>
    <cellStyle name="Normal 6 2" xfId="866"/>
    <cellStyle name="Normal 6 2 2" xfId="867"/>
    <cellStyle name="Normal 6 2 3" xfId="868"/>
    <cellStyle name="Normal 6 3" xfId="869"/>
    <cellStyle name="Normal 6 3 2" xfId="870"/>
    <cellStyle name="Normal 6 4" xfId="871"/>
    <cellStyle name="Normal 6 4 2" xfId="872"/>
    <cellStyle name="Normal 6 5" xfId="873"/>
    <cellStyle name="Normal 7" xfId="874"/>
    <cellStyle name="Normal 7 2" xfId="875"/>
    <cellStyle name="Normal 7 3" xfId="876"/>
    <cellStyle name="Normal 7 4" xfId="877"/>
    <cellStyle name="Normal 8" xfId="878"/>
    <cellStyle name="Normal 8 2" xfId="879"/>
    <cellStyle name="Normal 8 2 2" xfId="880"/>
    <cellStyle name="Normal 8 3" xfId="881"/>
    <cellStyle name="Normal 9" xfId="882"/>
    <cellStyle name="Normal 9 2" xfId="883"/>
    <cellStyle name="Normal 9 2 2" xfId="884"/>
    <cellStyle name="Normal 9 3" xfId="885"/>
    <cellStyle name="Normal_FN1 Ratebase Draft SPP template (6-11-04) v2" xfId="1122"/>
    <cellStyle name="Note 2" xfId="886"/>
    <cellStyle name="Note 2 2" xfId="887"/>
    <cellStyle name="Note 2 2 2" xfId="888"/>
    <cellStyle name="Note 2 2 3" xfId="889"/>
    <cellStyle name="Note 2 2 4" xfId="890"/>
    <cellStyle name="Note 2 3" xfId="891"/>
    <cellStyle name="Note 2 4" xfId="892"/>
    <cellStyle name="Note 2 5" xfId="893"/>
    <cellStyle name="Output 2" xfId="894"/>
    <cellStyle name="Output 2 2" xfId="895"/>
    <cellStyle name="Output 2 3" xfId="896"/>
    <cellStyle name="Output 2 4" xfId="897"/>
    <cellStyle name="Output 2 5" xfId="898"/>
    <cellStyle name="Percent" xfId="1130" builtinId="5"/>
    <cellStyle name="Percent 10" xfId="6"/>
    <cellStyle name="Percent 11" xfId="899"/>
    <cellStyle name="Percent 12" xfId="900"/>
    <cellStyle name="Percent 12 2" xfId="901"/>
    <cellStyle name="Percent 12 3" xfId="902"/>
    <cellStyle name="Percent 13" xfId="903"/>
    <cellStyle name="Percent 13 2" xfId="904"/>
    <cellStyle name="Percent 14" xfId="905"/>
    <cellStyle name="Percent 14 2" xfId="906"/>
    <cellStyle name="Percent 15" xfId="907"/>
    <cellStyle name="Percent 15 2" xfId="908"/>
    <cellStyle name="Percent 16" xfId="909"/>
    <cellStyle name="Percent 17" xfId="1121"/>
    <cellStyle name="Percent 18" xfId="1125"/>
    <cellStyle name="Percent 2" xfId="3"/>
    <cellStyle name="Percent 2 2" xfId="910"/>
    <cellStyle name="Percent 2 2 2" xfId="911"/>
    <cellStyle name="Percent 2 3" xfId="912"/>
    <cellStyle name="Percent 3" xfId="913"/>
    <cellStyle name="Percent 3 10" xfId="914"/>
    <cellStyle name="Percent 3 10 2" xfId="915"/>
    <cellStyle name="Percent 3 10 3" xfId="916"/>
    <cellStyle name="Percent 3 11" xfId="917"/>
    <cellStyle name="Percent 3 11 2" xfId="918"/>
    <cellStyle name="Percent 3 12" xfId="919"/>
    <cellStyle name="Percent 3 12 2" xfId="920"/>
    <cellStyle name="Percent 3 13" xfId="921"/>
    <cellStyle name="Percent 3 13 2" xfId="922"/>
    <cellStyle name="Percent 3 14" xfId="923"/>
    <cellStyle name="Percent 3 2" xfId="924"/>
    <cellStyle name="Percent 3 2 2" xfId="925"/>
    <cellStyle name="Percent 3 3" xfId="926"/>
    <cellStyle name="Percent 3 3 2" xfId="927"/>
    <cellStyle name="Percent 3 3 2 2" xfId="928"/>
    <cellStyle name="Percent 3 3 2 3" xfId="929"/>
    <cellStyle name="Percent 3 3 3" xfId="930"/>
    <cellStyle name="Percent 3 3 3 2" xfId="931"/>
    <cellStyle name="Percent 3 3 3 2 2" xfId="932"/>
    <cellStyle name="Percent 3 3 3 2 3" xfId="933"/>
    <cellStyle name="Percent 3 3 3 2 4" xfId="934"/>
    <cellStyle name="Percent 3 3 3 2 5" xfId="935"/>
    <cellStyle name="Percent 3 3 3 3" xfId="936"/>
    <cellStyle name="Percent 3 3 4" xfId="937"/>
    <cellStyle name="Percent 3 3 5" xfId="938"/>
    <cellStyle name="Percent 3 3 5 2" xfId="939"/>
    <cellStyle name="Percent 3 3 5 3" xfId="940"/>
    <cellStyle name="Percent 3 3 5 4" xfId="941"/>
    <cellStyle name="Percent 3 3 5 5" xfId="942"/>
    <cellStyle name="Percent 3 3 6" xfId="943"/>
    <cellStyle name="Percent 3 4" xfId="944"/>
    <cellStyle name="Percent 3 4 2" xfId="945"/>
    <cellStyle name="Percent 3 4 2 2" xfId="1129"/>
    <cellStyle name="Percent 3 4 3" xfId="946"/>
    <cellStyle name="Percent 3 4 4" xfId="947"/>
    <cellStyle name="Percent 3 4 4 2" xfId="948"/>
    <cellStyle name="Percent 3 4 4 3" xfId="949"/>
    <cellStyle name="Percent 3 4 4 4" xfId="950"/>
    <cellStyle name="Percent 3 4 4 5" xfId="951"/>
    <cellStyle name="Percent 3 4 5" xfId="952"/>
    <cellStyle name="Percent 3 4 7" xfId="1127"/>
    <cellStyle name="Percent 3 5" xfId="953"/>
    <cellStyle name="Percent 3 5 2" xfId="954"/>
    <cellStyle name="Percent 3 6" xfId="955"/>
    <cellStyle name="Percent 3 6 2" xfId="956"/>
    <cellStyle name="Percent 3 7" xfId="957"/>
    <cellStyle name="Percent 3 8" xfId="958"/>
    <cellStyle name="Percent 3 9" xfId="959"/>
    <cellStyle name="Percent 4" xfId="960"/>
    <cellStyle name="Percent 4 2" xfId="961"/>
    <cellStyle name="Percent 4 2 2" xfId="962"/>
    <cellStyle name="Percent 4 2 3" xfId="963"/>
    <cellStyle name="Percent 4 3" xfId="964"/>
    <cellStyle name="Percent 4 3 2" xfId="965"/>
    <cellStyle name="Percent 4 3 2 2" xfId="966"/>
    <cellStyle name="Percent 4 3 2 3" xfId="967"/>
    <cellStyle name="Percent 4 3 2 4" xfId="968"/>
    <cellStyle name="Percent 4 3 2 5" xfId="969"/>
    <cellStyle name="Percent 4 3 3" xfId="970"/>
    <cellStyle name="Percent 4 4" xfId="971"/>
    <cellStyle name="Percent 4 5" xfId="972"/>
    <cellStyle name="Percent 4 5 2" xfId="973"/>
    <cellStyle name="Percent 4 5 3" xfId="974"/>
    <cellStyle name="Percent 4 5 4" xfId="975"/>
    <cellStyle name="Percent 4 5 5" xfId="976"/>
    <cellStyle name="Percent 4 6" xfId="977"/>
    <cellStyle name="Percent 4 6 2" xfId="978"/>
    <cellStyle name="Percent 4 6 3" xfId="979"/>
    <cellStyle name="Percent 4 7" xfId="980"/>
    <cellStyle name="Percent 5" xfId="981"/>
    <cellStyle name="Percent 5 2" xfId="982"/>
    <cellStyle name="Percent 5 3" xfId="983"/>
    <cellStyle name="Percent 5 4" xfId="984"/>
    <cellStyle name="Percent 5 4 2" xfId="985"/>
    <cellStyle name="Percent 5 4 3" xfId="986"/>
    <cellStyle name="Percent 5 4 4" xfId="987"/>
    <cellStyle name="Percent 5 4 5" xfId="988"/>
    <cellStyle name="Percent 5 5" xfId="989"/>
    <cellStyle name="Percent 6" xfId="990"/>
    <cellStyle name="Percent 6 2" xfId="991"/>
    <cellStyle name="Percent 6 3" xfId="992"/>
    <cellStyle name="Percent 6 4" xfId="993"/>
    <cellStyle name="Percent 6 4 2" xfId="994"/>
    <cellStyle name="Percent 6 4 3" xfId="995"/>
    <cellStyle name="Percent 6 5" xfId="996"/>
    <cellStyle name="Percent 7" xfId="997"/>
    <cellStyle name="Percent 7 2" xfId="998"/>
    <cellStyle name="Percent 7 2 2" xfId="999"/>
    <cellStyle name="Percent 7 2 2 2" xfId="1000"/>
    <cellStyle name="Percent 7 2 2 2 2" xfId="1001"/>
    <cellStyle name="Percent 7 2 2 3" xfId="1002"/>
    <cellStyle name="Percent 7 2 2 3 2" xfId="1003"/>
    <cellStyle name="Percent 7 2 2 4" xfId="1004"/>
    <cellStyle name="Percent 7 2 2 5" xfId="1005"/>
    <cellStyle name="Percent 7 2 2 6" xfId="1006"/>
    <cellStyle name="Percent 7 2 3" xfId="1007"/>
    <cellStyle name="Percent 7 2 3 2" xfId="1008"/>
    <cellStyle name="Percent 7 2 4" xfId="1009"/>
    <cellStyle name="Percent 7 2 4 2" xfId="1010"/>
    <cellStyle name="Percent 7 2 4 3" xfId="1011"/>
    <cellStyle name="Percent 7 2 5" xfId="1012"/>
    <cellStyle name="Percent 7 2 5 2" xfId="1013"/>
    <cellStyle name="Percent 7 2 6" xfId="1014"/>
    <cellStyle name="Percent 7 3" xfId="1015"/>
    <cellStyle name="Percent 7 4" xfId="1016"/>
    <cellStyle name="Percent 7 5" xfId="1017"/>
    <cellStyle name="Percent 7 6" xfId="1018"/>
    <cellStyle name="Percent 8" xfId="1019"/>
    <cellStyle name="Percent 9" xfId="1020"/>
    <cellStyle name="PSChar" xfId="1021"/>
    <cellStyle name="PSChar 2" xfId="1022"/>
    <cellStyle name="PSChar 2 2" xfId="1023"/>
    <cellStyle name="PSChar 3" xfId="1024"/>
    <cellStyle name="PSChar 4" xfId="1025"/>
    <cellStyle name="PSChar 4 2" xfId="1026"/>
    <cellStyle name="PSChar 5" xfId="1027"/>
    <cellStyle name="PSChar 5 2" xfId="1028"/>
    <cellStyle name="PSDate" xfId="1029"/>
    <cellStyle name="PSDate 2" xfId="1030"/>
    <cellStyle name="PSDate 3" xfId="1031"/>
    <cellStyle name="PSDate 4" xfId="1032"/>
    <cellStyle name="PSDate 4 2" xfId="1033"/>
    <cellStyle name="PSDate 5" xfId="1034"/>
    <cellStyle name="PSDate 5 2" xfId="1035"/>
    <cellStyle name="PSDec" xfId="1036"/>
    <cellStyle name="PSDec 2" xfId="1037"/>
    <cellStyle name="PSDec 3" xfId="1038"/>
    <cellStyle name="PSDec 4" xfId="1039"/>
    <cellStyle name="PSDec 4 2" xfId="1040"/>
    <cellStyle name="PSDec 5" xfId="1041"/>
    <cellStyle name="PSDec 5 2" xfId="1042"/>
    <cellStyle name="PSdesc" xfId="1043"/>
    <cellStyle name="PSdesc 2" xfId="1044"/>
    <cellStyle name="PSHeading" xfId="1045"/>
    <cellStyle name="PSHeading 2" xfId="1046"/>
    <cellStyle name="PSHeading 3" xfId="1047"/>
    <cellStyle name="PSHeading 4" xfId="1048"/>
    <cellStyle name="PSHeading 5" xfId="1049"/>
    <cellStyle name="PSHeading 5 2" xfId="1050"/>
    <cellStyle name="PSHeading 6" xfId="1051"/>
    <cellStyle name="PSHeading 6 2" xfId="1052"/>
    <cellStyle name="PSInt" xfId="1053"/>
    <cellStyle name="PSInt 2" xfId="1054"/>
    <cellStyle name="PSInt 3" xfId="1055"/>
    <cellStyle name="PSInt 4" xfId="1056"/>
    <cellStyle name="PSInt 4 2" xfId="1057"/>
    <cellStyle name="PSInt 5" xfId="1058"/>
    <cellStyle name="PSInt 5 2" xfId="1059"/>
    <cellStyle name="PSSpacer" xfId="1060"/>
    <cellStyle name="PSSpacer 2" xfId="1061"/>
    <cellStyle name="PSSpacer 3" xfId="1062"/>
    <cellStyle name="PSSpacer 3 2" xfId="1063"/>
    <cellStyle name="PStest" xfId="1064"/>
    <cellStyle name="PStest 2" xfId="1065"/>
    <cellStyle name="R00A" xfId="1066"/>
    <cellStyle name="R00B" xfId="1067"/>
    <cellStyle name="R00L" xfId="1068"/>
    <cellStyle name="R01A" xfId="1069"/>
    <cellStyle name="R01B" xfId="1070"/>
    <cellStyle name="R01H" xfId="1071"/>
    <cellStyle name="R01L" xfId="1072"/>
    <cellStyle name="R02A" xfId="1073"/>
    <cellStyle name="R02B" xfId="1074"/>
    <cellStyle name="R02B 2" xfId="1075"/>
    <cellStyle name="R02H" xfId="1076"/>
    <cellStyle name="R02L" xfId="1077"/>
    <cellStyle name="R03A" xfId="1078"/>
    <cellStyle name="R03B" xfId="1079"/>
    <cellStyle name="R03B 2" xfId="1080"/>
    <cellStyle name="R03H" xfId="1081"/>
    <cellStyle name="R03L" xfId="1082"/>
    <cellStyle name="R04A" xfId="1083"/>
    <cellStyle name="R04B" xfId="1084"/>
    <cellStyle name="R04B 2" xfId="1085"/>
    <cellStyle name="R04H" xfId="1086"/>
    <cellStyle name="R04L" xfId="1087"/>
    <cellStyle name="R05A" xfId="1088"/>
    <cellStyle name="R05B" xfId="1089"/>
    <cellStyle name="R05B 2" xfId="1090"/>
    <cellStyle name="R05H" xfId="1091"/>
    <cellStyle name="R05L" xfId="1092"/>
    <cellStyle name="R05L 2" xfId="1093"/>
    <cellStyle name="R06A" xfId="1094"/>
    <cellStyle name="R06B" xfId="1095"/>
    <cellStyle name="R06B 2" xfId="1096"/>
    <cellStyle name="R06H" xfId="1097"/>
    <cellStyle name="R06L" xfId="1098"/>
    <cellStyle name="R07A" xfId="1099"/>
    <cellStyle name="R07B" xfId="1100"/>
    <cellStyle name="R07B 2" xfId="1101"/>
    <cellStyle name="R07H" xfId="1102"/>
    <cellStyle name="R07L" xfId="1103"/>
    <cellStyle name="Title 2" xfId="1104"/>
    <cellStyle name="Title 2 2" xfId="1105"/>
    <cellStyle name="Title 2 3" xfId="1106"/>
    <cellStyle name="Title 2 4" xfId="1107"/>
    <cellStyle name="Total 2" xfId="1108"/>
    <cellStyle name="Total 2 2" xfId="1109"/>
    <cellStyle name="Total 2 3" xfId="1110"/>
    <cellStyle name="Total 2 4" xfId="1111"/>
    <cellStyle name="Total 2 5" xfId="1112"/>
    <cellStyle name="Total 3" xfId="1113"/>
    <cellStyle name="Total 3 2" xfId="1114"/>
    <cellStyle name="Warning Text 2" xfId="1115"/>
    <cellStyle name="Warning Text 2 2" xfId="1116"/>
    <cellStyle name="Warning Text 2 3" xfId="1117"/>
    <cellStyle name="Warning Text 2 4" xfId="1118"/>
    <cellStyle name="Warning Text 2 5" xfId="11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FERC\CORPORATE%20RESTRUCTURING\OK%20Transco%20Radials\Radial%20Impact\2013-2017%20Revised%20Templates\21T%202014%20AEP%20Transco%20FR%20Template-Revised%2020141201%20May%203%20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FERC\CORPORATE%20RESTRUCTURING\OK%20Transco%20Radials\Radial%20Impact\2013-2017%20Revised%20Templates\21T%202015%20AEP%20Transco%20FR%20Template-Revised%2020150605%20May%203,%2020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FERC\CORPORATE%20RESTRUCTURING\OK%20Transco%20Radials\Radial%20Impact\2013-2017%20Revised%20Templates\21T%202016%20AEP%20Transco%20FR%20Template%2020160520%20May%203,%2020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FERC\CORPORATE%20RESTRUCTURING\OK%20Transco%20Radials\Radial%20Impact\2013-2017%20Revised%20Templates\21T%202017%20AEP%20Transco%20FR%20Template%20May%203,%20201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FERC\CORPORATE%20RESTRUCTURING\OK%20Transco%20Radials\Radial%20Impact\2013-2017%20Revised%20Templates\21T%202018%20AEP%20Transco%20FR%20Template%206-5-2018%20May%203,%2020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Regulated%20Tariffs\AEPTCo%20Docket%20No.%20ER10-355\Bethel%20Testimony%20and%20Exhibits\Oklahoma%20Transmission%20Company%202009%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_General"/>
      <sheetName val="&gt;&gt;"/>
      <sheetName val="Projected Zonal Rates"/>
      <sheetName val="Sch 1A Rates (2)"/>
      <sheetName val="Sch 1 Rates"/>
      <sheetName val="Trued-Up Zonal Rates"/>
      <sheetName val="Sch 11 Rate by Project"/>
      <sheetName val="Load WS"/>
      <sheetName val="OKT Projected TCOS"/>
      <sheetName val="OKT Historic TCOS"/>
      <sheetName val="OKT True-Up TCOS"/>
      <sheetName val="OKT WS A RB Support "/>
      <sheetName val="OKT WS B Projected Plant"/>
      <sheetName val="OKT WS C RB Tax"/>
      <sheetName val="OKT  WS C-1 DFIT WP 12-31-13"/>
      <sheetName val="OKT  WS C-2 DFIT WP 12-31-12"/>
      <sheetName val="OKT WS D Working Capital"/>
      <sheetName val="OKT WS E IPP Credits"/>
      <sheetName val="OKT WS F BPU ATRR Projected"/>
      <sheetName val="OKT WS G BPU ATRR True-up"/>
      <sheetName val="OKT WS H Rev Credits"/>
      <sheetName val="OKT WS I Exp Adj"/>
      <sheetName val="OKT WS J Misc Exp"/>
      <sheetName val="OKT WS K State Taxes"/>
      <sheetName val="OKT WS L Other Taxes"/>
      <sheetName val="OKT WS M Cost of Debt for Proj."/>
      <sheetName val="OKT WS N Avg Cap Structure"/>
      <sheetName val="OKT WS O  PBOP"/>
      <sheetName val="SWT Projected TCOS"/>
      <sheetName val="SWT Historic TCOS"/>
      <sheetName val="SWT True-UP TCOS"/>
      <sheetName val="SWT WS A  - RB Support"/>
      <sheetName val="SWT WS B Projected Plant"/>
      <sheetName val="SWT WS C RB Tax"/>
      <sheetName val="SWT WS C-1 DFIT WP 12-31-13"/>
      <sheetName val="SWT WS C-2 DFIT WP 12-31-12"/>
      <sheetName val="SWT WS D Working Capital"/>
      <sheetName val="SWT WS E IPP Credits"/>
      <sheetName val="SWT WS F BPU ATRR Projected"/>
      <sheetName val="SWT WS G BPU ATRR True-up"/>
      <sheetName val="SWT WS H Rev Credits"/>
      <sheetName val="SWT WS I Exp Adj"/>
      <sheetName val="SWT WS J Misc Exp"/>
      <sheetName val="SWT WS K State Taxes"/>
      <sheetName val="SWT WS L Other Taxes"/>
      <sheetName val="SWT WS M Cost of Debt"/>
      <sheetName val="SWT WS N Avg Cap Structure"/>
      <sheetName val="SWT Worksheet O  PBOP"/>
      <sheetName val="Sheet1"/>
    </sheetNames>
    <sheetDataSet>
      <sheetData sheetId="0"/>
      <sheetData sheetId="1"/>
      <sheetData sheetId="2"/>
      <sheetData sheetId="3"/>
      <sheetData sheetId="4"/>
      <sheetData sheetId="5"/>
      <sheetData sheetId="6"/>
      <sheetData sheetId="7">
        <row r="27">
          <cell r="Q27">
            <v>8113.33</v>
          </cell>
        </row>
      </sheetData>
      <sheetData sheetId="8">
        <row r="367">
          <cell r="I367" t="str">
            <v>PSO_Alloc_Allocators</v>
          </cell>
        </row>
        <row r="368">
          <cell r="I368" t="str">
            <v>DA</v>
          </cell>
          <cell r="J368">
            <v>1</v>
          </cell>
        </row>
        <row r="369">
          <cell r="I369" t="str">
            <v>GP(h)</v>
          </cell>
          <cell r="J369">
            <v>1</v>
          </cell>
        </row>
        <row r="370">
          <cell r="I370" t="str">
            <v xml:space="preserve">GTD </v>
          </cell>
          <cell r="J370">
            <v>0.99999999999999567</v>
          </cell>
        </row>
        <row r="371">
          <cell r="I371" t="str">
            <v>NA</v>
          </cell>
          <cell r="J371">
            <v>0</v>
          </cell>
        </row>
        <row r="372">
          <cell r="I372" t="str">
            <v>NP(h)</v>
          </cell>
          <cell r="J372">
            <v>1</v>
          </cell>
        </row>
        <row r="373">
          <cell r="I373" t="str">
            <v>TP</v>
          </cell>
          <cell r="J373">
            <v>1</v>
          </cell>
        </row>
        <row r="374">
          <cell r="I374" t="str">
            <v>TP1</v>
          </cell>
          <cell r="J374">
            <v>1</v>
          </cell>
        </row>
        <row r="375">
          <cell r="I375" t="str">
            <v>W/S</v>
          </cell>
          <cell r="J375">
            <v>0.9999999999916388</v>
          </cell>
        </row>
      </sheetData>
      <sheetData sheetId="9">
        <row r="1">
          <cell r="O1">
            <v>2013</v>
          </cell>
        </row>
        <row r="2">
          <cell r="O2">
            <v>2014</v>
          </cell>
        </row>
        <row r="7">
          <cell r="F7" t="str">
            <v>AEP OKLAHOMA TRANSMISSION COMPANY, INC</v>
          </cell>
        </row>
        <row r="97">
          <cell r="G97">
            <v>0</v>
          </cell>
        </row>
        <row r="136">
          <cell r="G136">
            <v>520866</v>
          </cell>
        </row>
        <row r="137">
          <cell r="G137">
            <v>11519</v>
          </cell>
        </row>
        <row r="138">
          <cell r="G138">
            <v>179704</v>
          </cell>
        </row>
        <row r="142">
          <cell r="G142">
            <v>734270</v>
          </cell>
        </row>
        <row r="143">
          <cell r="G143">
            <v>63189.39</v>
          </cell>
        </row>
        <row r="144">
          <cell r="G144">
            <v>0</v>
          </cell>
        </row>
        <row r="145">
          <cell r="G145">
            <v>0</v>
          </cell>
        </row>
        <row r="146">
          <cell r="G146">
            <v>15428.550000000001</v>
          </cell>
        </row>
        <row r="158">
          <cell r="G158">
            <v>2810141</v>
          </cell>
        </row>
        <row r="161">
          <cell r="G161">
            <v>0</v>
          </cell>
        </row>
        <row r="162">
          <cell r="G162">
            <v>117304</v>
          </cell>
        </row>
        <row r="180">
          <cell r="G180">
            <v>0</v>
          </cell>
        </row>
        <row r="217">
          <cell r="F217">
            <v>0</v>
          </cell>
          <cell r="G217">
            <v>119599</v>
          </cell>
        </row>
        <row r="218">
          <cell r="F218">
            <v>0</v>
          </cell>
          <cell r="G218">
            <v>0</v>
          </cell>
        </row>
        <row r="220">
          <cell r="F220">
            <v>0</v>
          </cell>
        </row>
        <row r="240">
          <cell r="J240">
            <v>0.112</v>
          </cell>
        </row>
        <row r="243">
          <cell r="E243">
            <v>0.5</v>
          </cell>
        </row>
        <row r="262">
          <cell r="E262">
            <v>0.52500000000000002</v>
          </cell>
        </row>
        <row r="326">
          <cell r="F326">
            <v>0.35</v>
          </cell>
        </row>
        <row r="328">
          <cell r="F328">
            <v>0</v>
          </cell>
        </row>
        <row r="368">
          <cell r="I368" t="str">
            <v>DA</v>
          </cell>
          <cell r="J368">
            <v>1</v>
          </cell>
        </row>
        <row r="369">
          <cell r="I369" t="str">
            <v>GP(h)</v>
          </cell>
          <cell r="J369">
            <v>1</v>
          </cell>
        </row>
        <row r="370">
          <cell r="I370" t="str">
            <v xml:space="preserve">GTD </v>
          </cell>
          <cell r="J370">
            <v>0.99999999999999567</v>
          </cell>
        </row>
        <row r="371">
          <cell r="I371" t="str">
            <v>NA</v>
          </cell>
          <cell r="J371">
            <v>0</v>
          </cell>
        </row>
        <row r="372">
          <cell r="I372" t="str">
            <v>NP(h)</v>
          </cell>
          <cell r="J372">
            <v>1</v>
          </cell>
        </row>
        <row r="373">
          <cell r="I373" t="str">
            <v>TP</v>
          </cell>
          <cell r="J373">
            <v>1</v>
          </cell>
        </row>
        <row r="374">
          <cell r="I374" t="str">
            <v>TP1</v>
          </cell>
          <cell r="J374">
            <v>1</v>
          </cell>
        </row>
        <row r="375">
          <cell r="I375" t="str">
            <v>W/S</v>
          </cell>
          <cell r="J375">
            <v>0.9999999999916388</v>
          </cell>
        </row>
      </sheetData>
      <sheetData sheetId="10"/>
      <sheetData sheetId="11">
        <row r="6">
          <cell r="E6" t="str">
            <v>(C)</v>
          </cell>
          <cell r="G6" t="str">
            <v>(E)</v>
          </cell>
        </row>
        <row r="18">
          <cell r="A18">
            <v>3</v>
          </cell>
          <cell r="G18">
            <v>156200849.5</v>
          </cell>
        </row>
        <row r="20">
          <cell r="G20">
            <v>0</v>
          </cell>
        </row>
        <row r="26">
          <cell r="G26">
            <v>0</v>
          </cell>
        </row>
        <row r="28">
          <cell r="G28">
            <v>0</v>
          </cell>
        </row>
        <row r="30">
          <cell r="G30">
            <v>619596</v>
          </cell>
        </row>
        <row r="42">
          <cell r="G42">
            <v>2436740.84</v>
          </cell>
        </row>
        <row r="44">
          <cell r="G44">
            <v>0</v>
          </cell>
        </row>
        <row r="50">
          <cell r="G50">
            <v>0</v>
          </cell>
        </row>
        <row r="52">
          <cell r="G52">
            <v>0</v>
          </cell>
        </row>
        <row r="54">
          <cell r="G54">
            <v>94335.5</v>
          </cell>
        </row>
        <row r="62">
          <cell r="A62">
            <v>23</v>
          </cell>
          <cell r="G62">
            <v>0</v>
          </cell>
        </row>
        <row r="74">
          <cell r="G74">
            <v>2436740.84</v>
          </cell>
        </row>
        <row r="78">
          <cell r="G78">
            <v>0</v>
          </cell>
        </row>
        <row r="80">
          <cell r="G80">
            <v>0</v>
          </cell>
        </row>
        <row r="88">
          <cell r="G88">
            <v>28109.266666666666</v>
          </cell>
        </row>
        <row r="90">
          <cell r="A90">
            <v>37</v>
          </cell>
        </row>
        <row r="96">
          <cell r="A96" t="str">
            <v xml:space="preserve">NOTE 1 </v>
          </cell>
        </row>
      </sheetData>
      <sheetData sheetId="12"/>
      <sheetData sheetId="13">
        <row r="27">
          <cell r="D27">
            <v>-30163085.515000001</v>
          </cell>
        </row>
        <row r="29">
          <cell r="J29">
            <v>-29295786.525816042</v>
          </cell>
        </row>
        <row r="44">
          <cell r="D44">
            <v>-7048203.7799999993</v>
          </cell>
        </row>
        <row r="46">
          <cell r="J46">
            <v>-5411675.71</v>
          </cell>
        </row>
        <row r="62">
          <cell r="D62">
            <v>10682610.285</v>
          </cell>
        </row>
        <row r="64">
          <cell r="J64">
            <v>6006624.4700000007</v>
          </cell>
        </row>
        <row r="79">
          <cell r="D79">
            <v>0</v>
          </cell>
        </row>
        <row r="81">
          <cell r="J81">
            <v>0</v>
          </cell>
        </row>
      </sheetData>
      <sheetData sheetId="14"/>
      <sheetData sheetId="15"/>
      <sheetData sheetId="16">
        <row r="6">
          <cell r="I6" t="str">
            <v>(F)</v>
          </cell>
        </row>
        <row r="15">
          <cell r="A15">
            <v>2</v>
          </cell>
          <cell r="I15">
            <v>0</v>
          </cell>
        </row>
        <row r="17">
          <cell r="A17">
            <v>3</v>
          </cell>
          <cell r="I17">
            <v>0</v>
          </cell>
        </row>
        <row r="19">
          <cell r="A19">
            <v>4</v>
          </cell>
          <cell r="I19">
            <v>0</v>
          </cell>
        </row>
        <row r="29">
          <cell r="E29">
            <v>0</v>
          </cell>
          <cell r="G29">
            <v>15750</v>
          </cell>
          <cell r="I29">
            <v>26770.58788928049</v>
          </cell>
          <cell r="J29">
            <v>4807.0171107195074</v>
          </cell>
        </row>
      </sheetData>
      <sheetData sheetId="17">
        <row r="21">
          <cell r="A21">
            <v>8</v>
          </cell>
          <cell r="C21">
            <v>0</v>
          </cell>
        </row>
      </sheetData>
      <sheetData sheetId="18"/>
      <sheetData sheetId="19">
        <row r="18">
          <cell r="N18">
            <v>2370651.8876003879</v>
          </cell>
          <cell r="P18">
            <v>0</v>
          </cell>
        </row>
      </sheetData>
      <sheetData sheetId="20">
        <row r="28">
          <cell r="M28">
            <v>0</v>
          </cell>
        </row>
        <row r="46">
          <cell r="M46">
            <v>1799108.1400000006</v>
          </cell>
        </row>
      </sheetData>
      <sheetData sheetId="21">
        <row r="21">
          <cell r="B21">
            <v>14</v>
          </cell>
          <cell r="G21">
            <v>0</v>
          </cell>
        </row>
      </sheetData>
      <sheetData sheetId="22">
        <row r="23">
          <cell r="F23">
            <v>0</v>
          </cell>
        </row>
        <row r="43">
          <cell r="F43">
            <v>0</v>
          </cell>
        </row>
        <row r="52">
          <cell r="A52">
            <v>32</v>
          </cell>
          <cell r="F52">
            <v>0</v>
          </cell>
        </row>
      </sheetData>
      <sheetData sheetId="23">
        <row r="18">
          <cell r="F18">
            <v>5.6599999999999998E-2</v>
          </cell>
        </row>
        <row r="41">
          <cell r="Q41">
            <v>0</v>
          </cell>
          <cell r="S41">
            <v>0</v>
          </cell>
        </row>
      </sheetData>
      <sheetData sheetId="24">
        <row r="46">
          <cell r="G46">
            <v>2309902.08</v>
          </cell>
          <cell r="I46">
            <v>0</v>
          </cell>
          <cell r="K46">
            <v>25</v>
          </cell>
          <cell r="M46">
            <v>0</v>
          </cell>
        </row>
      </sheetData>
      <sheetData sheetId="25">
        <row r="6">
          <cell r="F6" t="str">
            <v>(E)</v>
          </cell>
        </row>
      </sheetData>
      <sheetData sheetId="26">
        <row r="6">
          <cell r="E6" t="str">
            <v>(E)</v>
          </cell>
        </row>
        <row r="11">
          <cell r="A11">
            <v>1</v>
          </cell>
          <cell r="E11">
            <v>108350203.5</v>
          </cell>
        </row>
        <row r="12">
          <cell r="A12">
            <v>2</v>
          </cell>
          <cell r="E12">
            <v>0</v>
          </cell>
        </row>
        <row r="13">
          <cell r="A13">
            <v>3</v>
          </cell>
          <cell r="E13">
            <v>0</v>
          </cell>
        </row>
        <row r="14">
          <cell r="A14">
            <v>4</v>
          </cell>
          <cell r="E14">
            <v>0</v>
          </cell>
        </row>
        <row r="23">
          <cell r="A23">
            <v>10</v>
          </cell>
          <cell r="E23">
            <v>103725000</v>
          </cell>
        </row>
        <row r="32">
          <cell r="E32">
            <v>4213035.3600000003</v>
          </cell>
        </row>
        <row r="70">
          <cell r="E70">
            <v>0</v>
          </cell>
        </row>
        <row r="73">
          <cell r="A73">
            <v>46</v>
          </cell>
        </row>
        <row r="74">
          <cell r="E74">
            <v>0</v>
          </cell>
        </row>
      </sheetData>
      <sheetData sheetId="27">
        <row r="30">
          <cell r="A30">
            <v>16</v>
          </cell>
          <cell r="D30">
            <v>41990.330259072827</v>
          </cell>
        </row>
      </sheetData>
      <sheetData sheetId="28">
        <row r="368">
          <cell r="I368" t="str">
            <v>SWP_Proj_Allocators</v>
          </cell>
        </row>
        <row r="369">
          <cell r="I369" t="str">
            <v>DA</v>
          </cell>
          <cell r="J369">
            <v>1</v>
          </cell>
        </row>
        <row r="370">
          <cell r="I370" t="str">
            <v>GP(h)</v>
          </cell>
          <cell r="J370">
            <v>1</v>
          </cell>
        </row>
        <row r="371">
          <cell r="I371" t="str">
            <v xml:space="preserve">GTD </v>
          </cell>
          <cell r="J371">
            <v>1</v>
          </cell>
        </row>
        <row r="372">
          <cell r="I372" t="str">
            <v>NA</v>
          </cell>
          <cell r="J372">
            <v>0</v>
          </cell>
        </row>
        <row r="373">
          <cell r="I373" t="str">
            <v>NP(h)</v>
          </cell>
          <cell r="J373">
            <v>1</v>
          </cell>
        </row>
        <row r="374">
          <cell r="I374" t="str">
            <v>TP</v>
          </cell>
          <cell r="J374">
            <v>1</v>
          </cell>
        </row>
        <row r="375">
          <cell r="I375" t="str">
            <v>TP1</v>
          </cell>
          <cell r="J375">
            <v>0</v>
          </cell>
        </row>
        <row r="376">
          <cell r="I376" t="str">
            <v>W/S</v>
          </cell>
          <cell r="J376">
            <v>1</v>
          </cell>
        </row>
      </sheetData>
      <sheetData sheetId="29">
        <row r="368">
          <cell r="I368" t="str">
            <v>SWP_Hist_Allocators</v>
          </cell>
        </row>
        <row r="369">
          <cell r="I369" t="str">
            <v>DA</v>
          </cell>
          <cell r="J369">
            <v>1</v>
          </cell>
        </row>
        <row r="370">
          <cell r="I370" t="str">
            <v>GP(h)</v>
          </cell>
          <cell r="J370">
            <v>1</v>
          </cell>
        </row>
        <row r="371">
          <cell r="I371" t="str">
            <v xml:space="preserve">GTD </v>
          </cell>
          <cell r="J371">
            <v>1</v>
          </cell>
        </row>
        <row r="372">
          <cell r="I372" t="str">
            <v>NA</v>
          </cell>
          <cell r="J372">
            <v>0</v>
          </cell>
        </row>
        <row r="373">
          <cell r="I373" t="str">
            <v>NP(h)</v>
          </cell>
          <cell r="J373">
            <v>1</v>
          </cell>
        </row>
        <row r="374">
          <cell r="I374" t="str">
            <v>TP</v>
          </cell>
          <cell r="J374">
            <v>1</v>
          </cell>
        </row>
        <row r="375">
          <cell r="I375" t="str">
            <v>TP1</v>
          </cell>
          <cell r="J375">
            <v>0</v>
          </cell>
        </row>
        <row r="376">
          <cell r="I376" t="str">
            <v>W/S</v>
          </cell>
          <cell r="J376">
            <v>1</v>
          </cell>
        </row>
      </sheetData>
      <sheetData sheetId="30">
        <row r="341">
          <cell r="I341" t="str">
            <v>DA</v>
          </cell>
          <cell r="J341">
            <v>1</v>
          </cell>
        </row>
        <row r="342">
          <cell r="I342" t="str">
            <v>GP(TU)</v>
          </cell>
          <cell r="J342">
            <v>1</v>
          </cell>
        </row>
        <row r="343">
          <cell r="I343" t="str">
            <v xml:space="preserve">GTD </v>
          </cell>
          <cell r="J343">
            <v>1</v>
          </cell>
        </row>
        <row r="344">
          <cell r="I344" t="str">
            <v>NA</v>
          </cell>
          <cell r="J344">
            <v>0</v>
          </cell>
        </row>
        <row r="345">
          <cell r="I345" t="str">
            <v>NP(TU)</v>
          </cell>
          <cell r="J345">
            <v>1</v>
          </cell>
        </row>
        <row r="346">
          <cell r="I346" t="str">
            <v>TP</v>
          </cell>
          <cell r="J346">
            <v>1</v>
          </cell>
        </row>
        <row r="347">
          <cell r="I347" t="str">
            <v>TP1</v>
          </cell>
          <cell r="J347">
            <v>0</v>
          </cell>
        </row>
        <row r="348">
          <cell r="I348" t="str">
            <v>W/S</v>
          </cell>
          <cell r="J348">
            <v>1</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_General"/>
      <sheetName val="&gt;&gt;"/>
      <sheetName val="Projected Zonal Rates"/>
      <sheetName val="Sch 1A Rates (2)"/>
      <sheetName val="Sch 1 Rates"/>
      <sheetName val="Trued-Up Zonal Rates"/>
      <sheetName val="Sch 11 Rate by Project"/>
      <sheetName val="Load WS"/>
      <sheetName val="OKT Projected TCOS"/>
      <sheetName val="OKT Historic TCOS"/>
      <sheetName val="OKT True-Up TCOS"/>
      <sheetName val="OKT WS A RB Support "/>
      <sheetName val="OKT WS B Projected Plant"/>
      <sheetName val="OKT WS C RB Tax"/>
      <sheetName val="OKT  WS C-1 DFIT WP 12-31-14"/>
      <sheetName val="OKT  WS C-2 DFIT WP 12-31-13"/>
      <sheetName val="OKT WS D Working Capital"/>
      <sheetName val="OKT WS E IPP Credits"/>
      <sheetName val="OKT WS F BPU ATRR Projected"/>
      <sheetName val="OKT WS G BPU ATRR True-up"/>
      <sheetName val="OKT WS H Rev Credits"/>
      <sheetName val="OKT WS I Exp Adj"/>
      <sheetName val="OKT WS J Misc Exp"/>
      <sheetName val="OKT WS K State Taxes"/>
      <sheetName val="OKT WS L Other Taxes"/>
      <sheetName val="OKT WS M Cost of Debt for Proj."/>
      <sheetName val="OKT WS N Avg Cap Structure"/>
      <sheetName val="OKT WS O  PBOP"/>
      <sheetName val="SWT Projected TCOS"/>
      <sheetName val="SWT Historic TCOS"/>
      <sheetName val="SWT True-UP TCOS"/>
      <sheetName val="SWT WS A  - RB Support"/>
      <sheetName val="SWT WS B Projected Plant"/>
      <sheetName val="SWT WS C RB Tax"/>
      <sheetName val="SWT WS C-1 DFIT WP 12-31-14"/>
      <sheetName val="SWT WS C-2 DFIT WP 12-31-13"/>
      <sheetName val="SWT WS D Working Capital"/>
      <sheetName val="SWT WS E IPP Credits"/>
      <sheetName val="SWT WS F BPU ATRR Projected"/>
      <sheetName val="SWT WS G BPU ATRR True-up"/>
      <sheetName val="SWT WS H Rev Credits"/>
      <sheetName val="SWT WS I Exp Adj"/>
      <sheetName val="SWT WS J Misc Exp"/>
      <sheetName val="SWT WS K State Taxes"/>
      <sheetName val="SWT WS L Other Taxes"/>
      <sheetName val="SWT WS M Cost of Debt"/>
      <sheetName val="SWT WS N Avg Cap Structure"/>
      <sheetName val="SWT Worksheet O  PBOP"/>
    </sheetNames>
    <sheetDataSet>
      <sheetData sheetId="0"/>
      <sheetData sheetId="1"/>
      <sheetData sheetId="2"/>
      <sheetData sheetId="3"/>
      <sheetData sheetId="4"/>
      <sheetData sheetId="5"/>
      <sheetData sheetId="6"/>
      <sheetData sheetId="7"/>
      <sheetData sheetId="8">
        <row r="367">
          <cell r="I367" t="str">
            <v>PSO_Alloc_Allocators</v>
          </cell>
        </row>
        <row r="368">
          <cell r="I368" t="str">
            <v>DA</v>
          </cell>
          <cell r="J368">
            <v>1</v>
          </cell>
        </row>
        <row r="369">
          <cell r="I369" t="str">
            <v>GP(h)</v>
          </cell>
          <cell r="J369">
            <v>1</v>
          </cell>
        </row>
        <row r="370">
          <cell r="I370" t="str">
            <v xml:space="preserve">GTD </v>
          </cell>
          <cell r="J370">
            <v>0.999999999999997</v>
          </cell>
        </row>
        <row r="371">
          <cell r="I371" t="str">
            <v>NA</v>
          </cell>
          <cell r="J371">
            <v>0</v>
          </cell>
        </row>
        <row r="372">
          <cell r="I372" t="str">
            <v>NP(h)</v>
          </cell>
          <cell r="J372">
            <v>1</v>
          </cell>
        </row>
        <row r="373">
          <cell r="I373" t="str">
            <v>TP</v>
          </cell>
          <cell r="J373">
            <v>1</v>
          </cell>
        </row>
        <row r="374">
          <cell r="I374" t="str">
            <v>TP1</v>
          </cell>
          <cell r="J374">
            <v>1</v>
          </cell>
        </row>
        <row r="375">
          <cell r="I375" t="str">
            <v>W/S</v>
          </cell>
          <cell r="J375">
            <v>0.99804963594161178</v>
          </cell>
        </row>
      </sheetData>
      <sheetData sheetId="9">
        <row r="1">
          <cell r="O1">
            <v>2014</v>
          </cell>
        </row>
        <row r="2">
          <cell r="O2">
            <v>2015</v>
          </cell>
        </row>
        <row r="7">
          <cell r="F7" t="str">
            <v>AEP OKLAHOMA TRANSMISSION COMPANY, INC</v>
          </cell>
        </row>
        <row r="97">
          <cell r="G97">
            <v>0</v>
          </cell>
        </row>
        <row r="136">
          <cell r="G136">
            <v>764804</v>
          </cell>
        </row>
        <row r="137">
          <cell r="G137">
            <v>11227</v>
          </cell>
        </row>
        <row r="138">
          <cell r="G138">
            <v>0</v>
          </cell>
        </row>
        <row r="142">
          <cell r="G142">
            <v>1450737</v>
          </cell>
        </row>
        <row r="143">
          <cell r="G143">
            <v>88138</v>
          </cell>
        </row>
        <row r="144">
          <cell r="G144">
            <v>0</v>
          </cell>
        </row>
        <row r="145">
          <cell r="G145">
            <v>0</v>
          </cell>
        </row>
        <row r="146">
          <cell r="G146">
            <v>31363</v>
          </cell>
        </row>
        <row r="158">
          <cell r="G158">
            <v>5911259</v>
          </cell>
        </row>
        <row r="161">
          <cell r="G161">
            <v>0</v>
          </cell>
        </row>
        <row r="162">
          <cell r="G162">
            <v>218615</v>
          </cell>
        </row>
        <row r="180">
          <cell r="G180">
            <v>0</v>
          </cell>
        </row>
        <row r="217">
          <cell r="F217">
            <v>0</v>
          </cell>
          <cell r="G217">
            <v>243581</v>
          </cell>
        </row>
        <row r="218">
          <cell r="F218">
            <v>0</v>
          </cell>
          <cell r="G218">
            <v>0</v>
          </cell>
        </row>
        <row r="220">
          <cell r="F220">
            <v>0</v>
          </cell>
        </row>
        <row r="240">
          <cell r="J240">
            <v>0.112</v>
          </cell>
        </row>
        <row r="243">
          <cell r="E243">
            <v>0.5</v>
          </cell>
        </row>
        <row r="262">
          <cell r="E262">
            <v>0.52500000000000002</v>
          </cell>
        </row>
        <row r="326">
          <cell r="F326">
            <v>0.35</v>
          </cell>
        </row>
        <row r="328">
          <cell r="F328">
            <v>0</v>
          </cell>
        </row>
        <row r="368">
          <cell r="I368" t="str">
            <v>DA</v>
          </cell>
          <cell r="J368">
            <v>1</v>
          </cell>
        </row>
        <row r="369">
          <cell r="I369" t="str">
            <v>GP(h)</v>
          </cell>
          <cell r="J369">
            <v>1</v>
          </cell>
        </row>
        <row r="370">
          <cell r="I370" t="str">
            <v xml:space="preserve">GTD </v>
          </cell>
          <cell r="J370">
            <v>0.999999999999997</v>
          </cell>
        </row>
        <row r="371">
          <cell r="I371" t="str">
            <v>NA</v>
          </cell>
          <cell r="J371">
            <v>0</v>
          </cell>
        </row>
        <row r="372">
          <cell r="I372" t="str">
            <v>NP(h)</v>
          </cell>
          <cell r="J372">
            <v>1</v>
          </cell>
        </row>
        <row r="373">
          <cell r="I373" t="str">
            <v>TP</v>
          </cell>
          <cell r="J373">
            <v>1</v>
          </cell>
        </row>
        <row r="374">
          <cell r="I374" t="str">
            <v>TP1</v>
          </cell>
          <cell r="J374">
            <v>1</v>
          </cell>
        </row>
        <row r="375">
          <cell r="I375" t="str">
            <v>W/S</v>
          </cell>
          <cell r="J375">
            <v>0.99804963594161178</v>
          </cell>
        </row>
      </sheetData>
      <sheetData sheetId="10"/>
      <sheetData sheetId="11">
        <row r="6">
          <cell r="E6" t="str">
            <v>(C)</v>
          </cell>
          <cell r="G6" t="str">
            <v>(E)</v>
          </cell>
        </row>
        <row r="18">
          <cell r="A18">
            <v>3</v>
          </cell>
          <cell r="G18">
            <v>289295210</v>
          </cell>
        </row>
        <row r="20">
          <cell r="G20">
            <v>0</v>
          </cell>
        </row>
        <row r="26">
          <cell r="G26">
            <v>0</v>
          </cell>
        </row>
        <row r="28">
          <cell r="G28">
            <v>0</v>
          </cell>
        </row>
        <row r="30">
          <cell r="G30">
            <v>1184394.5</v>
          </cell>
        </row>
        <row r="42">
          <cell r="G42">
            <v>6408287.6349999998</v>
          </cell>
        </row>
        <row r="44">
          <cell r="G44">
            <v>0</v>
          </cell>
        </row>
        <row r="50">
          <cell r="G50">
            <v>0</v>
          </cell>
        </row>
        <row r="52">
          <cell r="G52">
            <v>0</v>
          </cell>
        </row>
        <row r="54">
          <cell r="G54">
            <v>262295.5</v>
          </cell>
        </row>
        <row r="62">
          <cell r="A62">
            <v>23</v>
          </cell>
          <cell r="G62">
            <v>0</v>
          </cell>
        </row>
        <row r="74">
          <cell r="G74">
            <v>6408287.6349999998</v>
          </cell>
        </row>
        <row r="78">
          <cell r="G78">
            <v>0</v>
          </cell>
        </row>
        <row r="80">
          <cell r="G80">
            <v>0</v>
          </cell>
        </row>
        <row r="88">
          <cell r="G88">
            <v>21082.666666666664</v>
          </cell>
        </row>
        <row r="90">
          <cell r="A90">
            <v>37</v>
          </cell>
        </row>
        <row r="96">
          <cell r="A96" t="str">
            <v xml:space="preserve">NOTE 1 </v>
          </cell>
        </row>
      </sheetData>
      <sheetData sheetId="12"/>
      <sheetData sheetId="13">
        <row r="27">
          <cell r="D27">
            <v>-54626961.905000001</v>
          </cell>
        </row>
        <row r="29">
          <cell r="J29">
            <v>-52250801.576757893</v>
          </cell>
        </row>
        <row r="44">
          <cell r="D44">
            <v>-12583958.425000001</v>
          </cell>
        </row>
        <row r="46">
          <cell r="J46">
            <v>-9826414.0700000003</v>
          </cell>
        </row>
        <row r="62">
          <cell r="D62">
            <v>14692962.725</v>
          </cell>
        </row>
        <row r="64">
          <cell r="J64">
            <v>6804255.0750000002</v>
          </cell>
        </row>
        <row r="79">
          <cell r="D79">
            <v>0</v>
          </cell>
        </row>
        <row r="81">
          <cell r="J81">
            <v>0</v>
          </cell>
        </row>
      </sheetData>
      <sheetData sheetId="14"/>
      <sheetData sheetId="15"/>
      <sheetData sheetId="16">
        <row r="6">
          <cell r="I6" t="str">
            <v>(F)</v>
          </cell>
        </row>
        <row r="15">
          <cell r="A15">
            <v>2</v>
          </cell>
          <cell r="I15">
            <v>0</v>
          </cell>
        </row>
        <row r="17">
          <cell r="A17">
            <v>3</v>
          </cell>
          <cell r="I17">
            <v>0</v>
          </cell>
        </row>
        <row r="19">
          <cell r="A19">
            <v>4</v>
          </cell>
          <cell r="I19">
            <v>0</v>
          </cell>
        </row>
        <row r="29">
          <cell r="E29">
            <v>0</v>
          </cell>
          <cell r="G29">
            <v>22500</v>
          </cell>
          <cell r="I29">
            <v>50646.595000000001</v>
          </cell>
          <cell r="J29">
            <v>0</v>
          </cell>
        </row>
      </sheetData>
      <sheetData sheetId="17">
        <row r="21">
          <cell r="A21">
            <v>8</v>
          </cell>
          <cell r="C21">
            <v>0</v>
          </cell>
        </row>
      </sheetData>
      <sheetData sheetId="18"/>
      <sheetData sheetId="19">
        <row r="18">
          <cell r="N18">
            <v>6150575.2618603474</v>
          </cell>
          <cell r="P18">
            <v>0</v>
          </cell>
        </row>
      </sheetData>
      <sheetData sheetId="20">
        <row r="28">
          <cell r="M28">
            <v>0</v>
          </cell>
        </row>
        <row r="46">
          <cell r="M46">
            <v>1605736.140000008</v>
          </cell>
        </row>
      </sheetData>
      <sheetData sheetId="21">
        <row r="21">
          <cell r="B21">
            <v>14</v>
          </cell>
          <cell r="G21">
            <v>0</v>
          </cell>
        </row>
      </sheetData>
      <sheetData sheetId="22">
        <row r="23">
          <cell r="F23">
            <v>0</v>
          </cell>
        </row>
        <row r="43">
          <cell r="F43">
            <v>0</v>
          </cell>
        </row>
        <row r="52">
          <cell r="A52">
            <v>32</v>
          </cell>
          <cell r="F52">
            <v>0</v>
          </cell>
        </row>
      </sheetData>
      <sheetData sheetId="23">
        <row r="18">
          <cell r="F18">
            <v>5.6599999999999998E-2</v>
          </cell>
        </row>
        <row r="41">
          <cell r="Q41">
            <v>0</v>
          </cell>
          <cell r="S41">
            <v>0</v>
          </cell>
        </row>
      </sheetData>
      <sheetData sheetId="24">
        <row r="46">
          <cell r="G46">
            <v>2530749</v>
          </cell>
          <cell r="I46">
            <v>0</v>
          </cell>
          <cell r="K46">
            <v>19975</v>
          </cell>
          <cell r="M46">
            <v>0</v>
          </cell>
        </row>
      </sheetData>
      <sheetData sheetId="25">
        <row r="6">
          <cell r="F6" t="str">
            <v>(E)</v>
          </cell>
        </row>
      </sheetData>
      <sheetData sheetId="26">
        <row r="6">
          <cell r="E6" t="str">
            <v>(E)</v>
          </cell>
        </row>
        <row r="11">
          <cell r="A11">
            <v>1</v>
          </cell>
          <cell r="E11">
            <v>167193837.5</v>
          </cell>
        </row>
        <row r="12">
          <cell r="A12">
            <v>2</v>
          </cell>
          <cell r="E12">
            <v>0</v>
          </cell>
        </row>
        <row r="13">
          <cell r="A13">
            <v>3</v>
          </cell>
          <cell r="E13">
            <v>0</v>
          </cell>
        </row>
        <row r="14">
          <cell r="A14">
            <v>4</v>
          </cell>
          <cell r="E14">
            <v>0</v>
          </cell>
        </row>
        <row r="23">
          <cell r="A23">
            <v>10</v>
          </cell>
          <cell r="E23">
            <v>156275000</v>
          </cell>
        </row>
        <row r="32">
          <cell r="E32">
            <v>6576071</v>
          </cell>
        </row>
        <row r="70">
          <cell r="E70">
            <v>0</v>
          </cell>
        </row>
        <row r="73">
          <cell r="A73">
            <v>46</v>
          </cell>
        </row>
        <row r="74">
          <cell r="E74">
            <v>0</v>
          </cell>
        </row>
      </sheetData>
      <sheetData sheetId="27">
        <row r="30">
          <cell r="A30">
            <v>16</v>
          </cell>
          <cell r="D30">
            <v>29273.869975956379</v>
          </cell>
        </row>
      </sheetData>
      <sheetData sheetId="28">
        <row r="368">
          <cell r="I368" t="str">
            <v>SWP_Proj_Allocators</v>
          </cell>
        </row>
        <row r="369">
          <cell r="I369" t="str">
            <v>DA</v>
          </cell>
          <cell r="J369">
            <v>1</v>
          </cell>
        </row>
        <row r="370">
          <cell r="I370" t="str">
            <v>GP(h)</v>
          </cell>
          <cell r="J370">
            <v>1</v>
          </cell>
        </row>
        <row r="371">
          <cell r="I371" t="str">
            <v xml:space="preserve">GTD </v>
          </cell>
          <cell r="J371">
            <v>1</v>
          </cell>
        </row>
        <row r="372">
          <cell r="I372" t="str">
            <v>NA</v>
          </cell>
          <cell r="J372">
            <v>0</v>
          </cell>
        </row>
        <row r="373">
          <cell r="I373" t="str">
            <v>NP(h)</v>
          </cell>
          <cell r="J373">
            <v>1</v>
          </cell>
        </row>
        <row r="374">
          <cell r="I374" t="str">
            <v>TP</v>
          </cell>
          <cell r="J374">
            <v>1</v>
          </cell>
        </row>
        <row r="375">
          <cell r="I375" t="str">
            <v>TP1</v>
          </cell>
          <cell r="J375">
            <v>0</v>
          </cell>
        </row>
        <row r="376">
          <cell r="I376" t="str">
            <v>W/S</v>
          </cell>
          <cell r="J376">
            <v>1</v>
          </cell>
        </row>
      </sheetData>
      <sheetData sheetId="29">
        <row r="368">
          <cell r="I368" t="str">
            <v>SWP_Hist_Allocators</v>
          </cell>
        </row>
        <row r="369">
          <cell r="I369" t="str">
            <v>DA</v>
          </cell>
          <cell r="J369">
            <v>1</v>
          </cell>
        </row>
        <row r="370">
          <cell r="I370" t="str">
            <v>GP(h)</v>
          </cell>
          <cell r="J370">
            <v>1</v>
          </cell>
        </row>
        <row r="371">
          <cell r="I371" t="str">
            <v xml:space="preserve">GTD </v>
          </cell>
          <cell r="J371">
            <v>1</v>
          </cell>
        </row>
        <row r="372">
          <cell r="I372" t="str">
            <v>NA</v>
          </cell>
          <cell r="J372">
            <v>0</v>
          </cell>
        </row>
        <row r="373">
          <cell r="I373" t="str">
            <v>NP(h)</v>
          </cell>
          <cell r="J373">
            <v>1</v>
          </cell>
        </row>
        <row r="374">
          <cell r="I374" t="str">
            <v>TP</v>
          </cell>
          <cell r="J374">
            <v>1</v>
          </cell>
        </row>
        <row r="375">
          <cell r="I375" t="str">
            <v>TP1</v>
          </cell>
          <cell r="J375">
            <v>0</v>
          </cell>
        </row>
        <row r="376">
          <cell r="I376" t="str">
            <v>W/S</v>
          </cell>
          <cell r="J376">
            <v>1</v>
          </cell>
        </row>
      </sheetData>
      <sheetData sheetId="30">
        <row r="341">
          <cell r="I341" t="str">
            <v>DA</v>
          </cell>
          <cell r="J341">
            <v>1</v>
          </cell>
        </row>
        <row r="342">
          <cell r="I342" t="str">
            <v>GP(TU)</v>
          </cell>
          <cell r="J342">
            <v>1</v>
          </cell>
        </row>
        <row r="343">
          <cell r="I343" t="str">
            <v xml:space="preserve">GTD </v>
          </cell>
          <cell r="J343">
            <v>1</v>
          </cell>
        </row>
        <row r="344">
          <cell r="I344" t="str">
            <v>NA</v>
          </cell>
          <cell r="J344">
            <v>0</v>
          </cell>
        </row>
        <row r="345">
          <cell r="I345" t="str">
            <v>NP(TU)</v>
          </cell>
          <cell r="J345">
            <v>1</v>
          </cell>
        </row>
        <row r="346">
          <cell r="I346" t="str">
            <v>TP</v>
          </cell>
          <cell r="J346">
            <v>1</v>
          </cell>
        </row>
        <row r="347">
          <cell r="I347" t="str">
            <v>TP1</v>
          </cell>
          <cell r="J347">
            <v>0</v>
          </cell>
        </row>
        <row r="348">
          <cell r="I348" t="str">
            <v>W/S</v>
          </cell>
          <cell r="J348">
            <v>1</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ed Zonal Rates"/>
      <sheetName val="Sch 1A Rates (2)"/>
      <sheetName val="Sch 1 Rates"/>
      <sheetName val="Trued-Up Zonal Rates"/>
      <sheetName val="Sch 11 Rate by Project"/>
      <sheetName val="Load WS"/>
      <sheetName val="OKT Projected TCOS"/>
      <sheetName val="OKT Historic TCOS"/>
      <sheetName val="OKT True-Up TCOS"/>
      <sheetName val="OKT WS A RB Support "/>
      <sheetName val="OKT WS B Projected Plant"/>
      <sheetName val="OKT WS C RB Tax"/>
      <sheetName val="OKT  WS C-1 DFIT WP 12-31-15"/>
      <sheetName val="OKT  WS C-2 DFIT WP 12-31-14"/>
      <sheetName val="OKT WS D Working Capital"/>
      <sheetName val="OKT WS E IPP Credits"/>
      <sheetName val="OKT WS F BPU ATRR Projected"/>
      <sheetName val="OKT WS G BPU ATRR True-up"/>
      <sheetName val="OKT WS H Rev Credits"/>
      <sheetName val="OKT WS I Exp Adj"/>
      <sheetName val="OKT WS J Misc Exp"/>
      <sheetName val="OKT WS K State Taxes"/>
      <sheetName val="OKT WS L Other Taxes"/>
      <sheetName val="OKT WS M Cost of Debt for Proj."/>
      <sheetName val="OKT WS N Avg Cap Structure"/>
      <sheetName val="OKT WS O  PBOP"/>
      <sheetName val="SWT Projected TCOS"/>
      <sheetName val="SWT Historic TCOS"/>
      <sheetName val="SWT True-UP TCOS"/>
      <sheetName val="SWT WS A  - RB Support"/>
      <sheetName val="SWT WS B Projected Plant"/>
      <sheetName val="SWT WS C RB Tax"/>
      <sheetName val="SWT WS C-1 DFIT WP 12-31-15"/>
      <sheetName val="SWT WS C-2 DFIT WP 12-31-14"/>
      <sheetName val="SWT WS D Working Capital"/>
      <sheetName val="SWT WS E IPP Credits"/>
      <sheetName val="SWT WS F BPU ATRR Projected"/>
      <sheetName val="SWT WS G BPU ATRR True-up"/>
      <sheetName val="SWT WS H Rev Credits"/>
      <sheetName val="SWT WS I Exp Adj"/>
      <sheetName val="SWT WS J Misc Exp"/>
      <sheetName val="SWT WS K State Taxes"/>
      <sheetName val="SWT WS L Other Taxes"/>
      <sheetName val="SWT WS M Cost of Debt"/>
      <sheetName val="SWT WS N Avg Cap Structure"/>
      <sheetName val="SWT Worksheet O  PBOP"/>
    </sheetNames>
    <sheetDataSet>
      <sheetData sheetId="0"/>
      <sheetData sheetId="1"/>
      <sheetData sheetId="2"/>
      <sheetData sheetId="3"/>
      <sheetData sheetId="4"/>
      <sheetData sheetId="5"/>
      <sheetData sheetId="6">
        <row r="367">
          <cell r="I367" t="str">
            <v>PSO_Alloc_Allocators</v>
          </cell>
        </row>
        <row r="368">
          <cell r="I368" t="str">
            <v>DA</v>
          </cell>
          <cell r="J368">
            <v>1</v>
          </cell>
        </row>
        <row r="369">
          <cell r="I369" t="str">
            <v>GP(h)</v>
          </cell>
          <cell r="J369">
            <v>1</v>
          </cell>
        </row>
        <row r="370">
          <cell r="I370" t="str">
            <v xml:space="preserve">GTD </v>
          </cell>
          <cell r="J370">
            <v>0.99999999999999767</v>
          </cell>
        </row>
        <row r="371">
          <cell r="I371" t="str">
            <v>NA</v>
          </cell>
          <cell r="J371">
            <v>0</v>
          </cell>
        </row>
        <row r="372">
          <cell r="I372" t="str">
            <v>NP(h)</v>
          </cell>
          <cell r="J372">
            <v>1</v>
          </cell>
        </row>
        <row r="373">
          <cell r="I373" t="str">
            <v>TP</v>
          </cell>
          <cell r="J373">
            <v>1</v>
          </cell>
        </row>
        <row r="374">
          <cell r="I374" t="str">
            <v>TP1</v>
          </cell>
          <cell r="J374">
            <v>1</v>
          </cell>
        </row>
        <row r="375">
          <cell r="I375" t="str">
            <v>W/S</v>
          </cell>
          <cell r="J375">
            <v>0.99846736319164753</v>
          </cell>
        </row>
      </sheetData>
      <sheetData sheetId="7">
        <row r="1">
          <cell r="O1">
            <v>2015</v>
          </cell>
        </row>
        <row r="2">
          <cell r="O2">
            <v>2016</v>
          </cell>
        </row>
        <row r="7">
          <cell r="F7" t="str">
            <v>AEP OKLAHOMA TRANSMISSION COMPANY, INC</v>
          </cell>
        </row>
        <row r="97">
          <cell r="G97">
            <v>0</v>
          </cell>
        </row>
        <row r="136">
          <cell r="G136">
            <v>2568852</v>
          </cell>
        </row>
        <row r="137">
          <cell r="G137">
            <v>52177</v>
          </cell>
        </row>
        <row r="138">
          <cell r="G138">
            <v>0</v>
          </cell>
        </row>
        <row r="142">
          <cell r="G142">
            <v>1596498</v>
          </cell>
        </row>
        <row r="143">
          <cell r="G143">
            <v>87696</v>
          </cell>
        </row>
        <row r="144">
          <cell r="G144">
            <v>0</v>
          </cell>
        </row>
        <row r="145">
          <cell r="G145">
            <v>0</v>
          </cell>
        </row>
        <row r="146">
          <cell r="G146">
            <v>39614</v>
          </cell>
        </row>
        <row r="158">
          <cell r="G158">
            <v>8143315</v>
          </cell>
        </row>
        <row r="161">
          <cell r="G161">
            <v>0</v>
          </cell>
        </row>
        <row r="162">
          <cell r="G162">
            <v>391955</v>
          </cell>
        </row>
        <row r="180">
          <cell r="G180">
            <v>0</v>
          </cell>
        </row>
        <row r="217">
          <cell r="F217">
            <v>0</v>
          </cell>
          <cell r="G217">
            <v>669060</v>
          </cell>
        </row>
        <row r="218">
          <cell r="F218">
            <v>0</v>
          </cell>
          <cell r="G218">
            <v>0</v>
          </cell>
        </row>
        <row r="220">
          <cell r="F220">
            <v>0</v>
          </cell>
        </row>
        <row r="240">
          <cell r="J240">
            <v>0.112</v>
          </cell>
        </row>
        <row r="243">
          <cell r="E243">
            <v>0.5</v>
          </cell>
        </row>
        <row r="262">
          <cell r="E262">
            <v>0.52500000000000002</v>
          </cell>
        </row>
        <row r="326">
          <cell r="F326">
            <v>0.35</v>
          </cell>
        </row>
        <row r="328">
          <cell r="F328">
            <v>0</v>
          </cell>
        </row>
        <row r="368">
          <cell r="I368" t="str">
            <v>DA</v>
          </cell>
          <cell r="J368">
            <v>1</v>
          </cell>
        </row>
        <row r="369">
          <cell r="I369" t="str">
            <v>GP(h)</v>
          </cell>
          <cell r="J369">
            <v>1</v>
          </cell>
        </row>
        <row r="370">
          <cell r="I370" t="str">
            <v xml:space="preserve">GTD </v>
          </cell>
          <cell r="J370">
            <v>0.99999999999999767</v>
          </cell>
        </row>
        <row r="371">
          <cell r="I371" t="str">
            <v>NA</v>
          </cell>
          <cell r="J371">
            <v>0</v>
          </cell>
        </row>
        <row r="372">
          <cell r="I372" t="str">
            <v>NP(h)</v>
          </cell>
          <cell r="J372">
            <v>1</v>
          </cell>
        </row>
        <row r="373">
          <cell r="I373" t="str">
            <v>TP</v>
          </cell>
          <cell r="J373">
            <v>1</v>
          </cell>
        </row>
        <row r="374">
          <cell r="I374" t="str">
            <v>TP1</v>
          </cell>
          <cell r="J374">
            <v>1</v>
          </cell>
        </row>
        <row r="375">
          <cell r="I375" t="str">
            <v>W/S</v>
          </cell>
          <cell r="J375">
            <v>0.99846736319164753</v>
          </cell>
        </row>
      </sheetData>
      <sheetData sheetId="8"/>
      <sheetData sheetId="9">
        <row r="6">
          <cell r="E6" t="str">
            <v>(C)</v>
          </cell>
          <cell r="G6" t="str">
            <v>(E)</v>
          </cell>
        </row>
        <row r="18">
          <cell r="A18">
            <v>3</v>
          </cell>
          <cell r="G18">
            <v>391892633</v>
          </cell>
        </row>
        <row r="20">
          <cell r="G20">
            <v>0</v>
          </cell>
        </row>
        <row r="26">
          <cell r="G26">
            <v>0</v>
          </cell>
        </row>
        <row r="28">
          <cell r="G28">
            <v>0</v>
          </cell>
        </row>
        <row r="30">
          <cell r="G30">
            <v>2030618.5</v>
          </cell>
        </row>
        <row r="42">
          <cell r="G42">
            <v>12847165.879999999</v>
          </cell>
        </row>
        <row r="44">
          <cell r="G44">
            <v>0</v>
          </cell>
        </row>
        <row r="50">
          <cell r="G50">
            <v>0</v>
          </cell>
        </row>
        <row r="52">
          <cell r="G52">
            <v>0</v>
          </cell>
        </row>
        <row r="54">
          <cell r="G54">
            <v>567580.5</v>
          </cell>
        </row>
        <row r="62">
          <cell r="A62">
            <v>23</v>
          </cell>
          <cell r="G62">
            <v>0</v>
          </cell>
        </row>
        <row r="74">
          <cell r="G74">
            <v>12847165.879999999</v>
          </cell>
        </row>
        <row r="78">
          <cell r="G78">
            <v>0</v>
          </cell>
        </row>
        <row r="80">
          <cell r="G80">
            <v>0</v>
          </cell>
        </row>
        <row r="88">
          <cell r="G88">
            <v>0</v>
          </cell>
        </row>
        <row r="90">
          <cell r="A90">
            <v>37</v>
          </cell>
        </row>
        <row r="96">
          <cell r="A96" t="str">
            <v xml:space="preserve">NOTE 1 </v>
          </cell>
        </row>
      </sheetData>
      <sheetData sheetId="10"/>
      <sheetData sheetId="11">
        <row r="27">
          <cell r="D27">
            <v>-74439935.229999989</v>
          </cell>
        </row>
        <row r="29">
          <cell r="J29">
            <v>-70911362.828065619</v>
          </cell>
        </row>
        <row r="44">
          <cell r="D44">
            <v>-16954186.309999999</v>
          </cell>
        </row>
        <row r="46">
          <cell r="J46">
            <v>-13499346.01</v>
          </cell>
        </row>
        <row r="62">
          <cell r="D62">
            <v>14615685.864999998</v>
          </cell>
        </row>
        <row r="64">
          <cell r="J64">
            <v>4724771.0999999996</v>
          </cell>
        </row>
        <row r="79">
          <cell r="D79">
            <v>0</v>
          </cell>
        </row>
        <row r="81">
          <cell r="J81">
            <v>0</v>
          </cell>
        </row>
      </sheetData>
      <sheetData sheetId="12"/>
      <sheetData sheetId="13"/>
      <sheetData sheetId="14">
        <row r="6">
          <cell r="I6" t="str">
            <v>(F)</v>
          </cell>
        </row>
        <row r="15">
          <cell r="A15">
            <v>2</v>
          </cell>
          <cell r="I15">
            <v>0</v>
          </cell>
        </row>
        <row r="17">
          <cell r="A17">
            <v>3</v>
          </cell>
          <cell r="I17">
            <v>0</v>
          </cell>
        </row>
        <row r="19">
          <cell r="A19">
            <v>4</v>
          </cell>
          <cell r="I19">
            <v>0</v>
          </cell>
        </row>
        <row r="29">
          <cell r="E29">
            <v>0</v>
          </cell>
          <cell r="G29">
            <v>15650</v>
          </cell>
          <cell r="I29">
            <v>57862.154999999999</v>
          </cell>
          <cell r="J29">
            <v>0</v>
          </cell>
        </row>
      </sheetData>
      <sheetData sheetId="15">
        <row r="21">
          <cell r="A21">
            <v>8</v>
          </cell>
          <cell r="C21">
            <v>0</v>
          </cell>
        </row>
      </sheetData>
      <sheetData sheetId="16"/>
      <sheetData sheetId="17">
        <row r="18">
          <cell r="N18">
            <v>13185393.102653522</v>
          </cell>
          <cell r="P18">
            <v>0</v>
          </cell>
        </row>
      </sheetData>
      <sheetData sheetId="18">
        <row r="28">
          <cell r="M28">
            <v>0</v>
          </cell>
        </row>
        <row r="46">
          <cell r="M46">
            <v>1793628.0800000057</v>
          </cell>
        </row>
      </sheetData>
      <sheetData sheetId="19">
        <row r="21">
          <cell r="B21">
            <v>14</v>
          </cell>
          <cell r="G21">
            <v>0</v>
          </cell>
        </row>
      </sheetData>
      <sheetData sheetId="20">
        <row r="23">
          <cell r="F23">
            <v>0</v>
          </cell>
        </row>
        <row r="43">
          <cell r="F43">
            <v>0</v>
          </cell>
        </row>
        <row r="52">
          <cell r="A52">
            <v>32</v>
          </cell>
          <cell r="F52">
            <v>0</v>
          </cell>
        </row>
      </sheetData>
      <sheetData sheetId="21">
        <row r="18">
          <cell r="F18">
            <v>5.6599999999999998E-2</v>
          </cell>
        </row>
        <row r="41">
          <cell r="Q41">
            <v>0</v>
          </cell>
          <cell r="S41">
            <v>0</v>
          </cell>
        </row>
      </sheetData>
      <sheetData sheetId="22">
        <row r="46">
          <cell r="G46">
            <v>4142000</v>
          </cell>
          <cell r="I46">
            <v>0</v>
          </cell>
          <cell r="K46">
            <v>20373</v>
          </cell>
          <cell r="M46">
            <v>0</v>
          </cell>
        </row>
      </sheetData>
      <sheetData sheetId="23">
        <row r="6">
          <cell r="F6" t="str">
            <v>(E)</v>
          </cell>
        </row>
      </sheetData>
      <sheetData sheetId="24">
        <row r="6">
          <cell r="E6" t="str">
            <v>(E)</v>
          </cell>
        </row>
        <row r="11">
          <cell r="A11">
            <v>1</v>
          </cell>
          <cell r="E11">
            <v>202912016.5</v>
          </cell>
        </row>
        <row r="12">
          <cell r="A12">
            <v>2</v>
          </cell>
          <cell r="E12">
            <v>0</v>
          </cell>
        </row>
        <row r="13">
          <cell r="A13">
            <v>3</v>
          </cell>
          <cell r="E13">
            <v>0</v>
          </cell>
        </row>
        <row r="14">
          <cell r="A14">
            <v>4</v>
          </cell>
          <cell r="E14">
            <v>0</v>
          </cell>
        </row>
        <row r="23">
          <cell r="A23">
            <v>10</v>
          </cell>
          <cell r="E23">
            <v>192600000</v>
          </cell>
        </row>
        <row r="32">
          <cell r="E32">
            <v>8069540</v>
          </cell>
        </row>
        <row r="70">
          <cell r="E70">
            <v>0</v>
          </cell>
        </row>
        <row r="73">
          <cell r="A73">
            <v>46</v>
          </cell>
        </row>
        <row r="74">
          <cell r="E74">
            <v>0</v>
          </cell>
        </row>
      </sheetData>
      <sheetData sheetId="25">
        <row r="30">
          <cell r="A30">
            <v>16</v>
          </cell>
          <cell r="D30">
            <v>149930.71235547523</v>
          </cell>
        </row>
      </sheetData>
      <sheetData sheetId="26">
        <row r="368">
          <cell r="I368" t="str">
            <v>SWP_Proj_Allocators</v>
          </cell>
        </row>
        <row r="369">
          <cell r="I369" t="str">
            <v>DA</v>
          </cell>
          <cell r="J369">
            <v>1</v>
          </cell>
        </row>
        <row r="370">
          <cell r="I370" t="str">
            <v>GP(h)</v>
          </cell>
          <cell r="J370">
            <v>0</v>
          </cell>
        </row>
        <row r="371">
          <cell r="I371" t="str">
            <v xml:space="preserve">GTD </v>
          </cell>
          <cell r="J371">
            <v>0</v>
          </cell>
        </row>
        <row r="372">
          <cell r="I372" t="str">
            <v>NA</v>
          </cell>
          <cell r="J372">
            <v>0</v>
          </cell>
        </row>
        <row r="373">
          <cell r="I373" t="str">
            <v>NP(h)</v>
          </cell>
          <cell r="J373">
            <v>0</v>
          </cell>
        </row>
        <row r="374">
          <cell r="I374" t="str">
            <v>TP</v>
          </cell>
          <cell r="J374">
            <v>0</v>
          </cell>
        </row>
        <row r="375">
          <cell r="I375" t="str">
            <v>TP1</v>
          </cell>
          <cell r="J375">
            <v>0</v>
          </cell>
        </row>
        <row r="376">
          <cell r="I376" t="str">
            <v>W/S</v>
          </cell>
          <cell r="J376">
            <v>1</v>
          </cell>
        </row>
      </sheetData>
      <sheetData sheetId="27">
        <row r="368">
          <cell r="I368" t="str">
            <v>SWP_Hist_Allocators</v>
          </cell>
        </row>
        <row r="369">
          <cell r="I369" t="str">
            <v>DA</v>
          </cell>
          <cell r="J369">
            <v>1</v>
          </cell>
        </row>
        <row r="370">
          <cell r="I370" t="str">
            <v>GP(h)</v>
          </cell>
          <cell r="J370">
            <v>0</v>
          </cell>
        </row>
        <row r="371">
          <cell r="I371" t="str">
            <v xml:space="preserve">GTD </v>
          </cell>
          <cell r="J371">
            <v>0</v>
          </cell>
        </row>
        <row r="372">
          <cell r="I372" t="str">
            <v>NA</v>
          </cell>
          <cell r="J372">
            <v>0</v>
          </cell>
        </row>
        <row r="373">
          <cell r="I373" t="str">
            <v>NP(h)</v>
          </cell>
          <cell r="J373">
            <v>0</v>
          </cell>
        </row>
        <row r="374">
          <cell r="I374" t="str">
            <v>TP</v>
          </cell>
          <cell r="J374">
            <v>0</v>
          </cell>
        </row>
        <row r="375">
          <cell r="I375" t="str">
            <v>TP1</v>
          </cell>
          <cell r="J375">
            <v>0</v>
          </cell>
        </row>
        <row r="376">
          <cell r="I376" t="str">
            <v>W/S</v>
          </cell>
          <cell r="J376">
            <v>1</v>
          </cell>
        </row>
      </sheetData>
      <sheetData sheetId="28">
        <row r="341">
          <cell r="I341" t="str">
            <v>DA</v>
          </cell>
          <cell r="J341">
            <v>1</v>
          </cell>
        </row>
        <row r="342">
          <cell r="I342" t="str">
            <v>GP(TU)</v>
          </cell>
          <cell r="J342">
            <v>1</v>
          </cell>
        </row>
        <row r="343">
          <cell r="I343" t="str">
            <v xml:space="preserve">GTD </v>
          </cell>
          <cell r="J343">
            <v>1</v>
          </cell>
        </row>
        <row r="344">
          <cell r="I344" t="str">
            <v>NA</v>
          </cell>
          <cell r="J344">
            <v>0</v>
          </cell>
        </row>
        <row r="345">
          <cell r="I345" t="str">
            <v>NP(TU)</v>
          </cell>
          <cell r="J345">
            <v>1</v>
          </cell>
        </row>
        <row r="346">
          <cell r="I346" t="str">
            <v>TP</v>
          </cell>
          <cell r="J346">
            <v>1</v>
          </cell>
        </row>
        <row r="347">
          <cell r="I347" t="str">
            <v>TP1</v>
          </cell>
          <cell r="J347">
            <v>0</v>
          </cell>
        </row>
        <row r="348">
          <cell r="I348" t="str">
            <v>W/S</v>
          </cell>
          <cell r="J348">
            <v>1</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_General"/>
      <sheetName val="&gt;&gt;"/>
      <sheetName val="Projected Zonal Rates"/>
      <sheetName val="Sch 1A Rates (2)"/>
      <sheetName val="Sch 1 Rates"/>
      <sheetName val="Trued-Up Zonal Rates"/>
      <sheetName val="Sch 11 Rate by Project"/>
      <sheetName val="Load WS"/>
      <sheetName val="OKT Projected TCOS"/>
      <sheetName val="OKT Historic TCOS"/>
      <sheetName val="OKT True-Up TCOS"/>
      <sheetName val="OKT WS A RB Support "/>
      <sheetName val="OKT WS B Projected Plant"/>
      <sheetName val="OKT WS C RB Tax"/>
      <sheetName val="OKT  WS C-1 DFIT WP 12-31-16"/>
      <sheetName val="OKT  WS C-2 DFIT WP 12-31-15"/>
      <sheetName val="OKT WS D Working Capital"/>
      <sheetName val="OKT WS E IPP Credits"/>
      <sheetName val="OKT WS F BPU ATRR Projected"/>
      <sheetName val="OKT WS G BPU ATRR True-up"/>
      <sheetName val="OKT WS H Rev Credits"/>
      <sheetName val="OKT WS I Exp Adj"/>
      <sheetName val="OKT WS J Misc Exp"/>
      <sheetName val="OKT WS K State Taxes"/>
      <sheetName val="OKT WS L Other Taxes"/>
      <sheetName val="OKT WS M Cost of Debt for Proj."/>
      <sheetName val="OKT WS N Avg Cap Structure"/>
      <sheetName val="OKT WS O  PBOP"/>
      <sheetName val="SWT Projected TCOS"/>
      <sheetName val="SWT Historic TCOS"/>
      <sheetName val="SWT True-UP TCOS"/>
      <sheetName val="SWT WS A  - RB Support"/>
      <sheetName val="SWT WS B Projected Plant"/>
      <sheetName val="SWT WS C RB Tax"/>
      <sheetName val="SWT WS C-1 DFIT WP 12-31-16"/>
      <sheetName val="SWT WS C-2 DFIT WP 12-31-15"/>
      <sheetName val="SWT WS D Working Capital"/>
      <sheetName val="SWT WS E IPP Credits"/>
      <sheetName val="SWT WS F BPU ATRR Projected"/>
      <sheetName val="SWT WS G BPU ATRR True-up"/>
      <sheetName val="SWT WS H Rev Credits"/>
      <sheetName val="SWT WS I Exp Adj"/>
      <sheetName val="SWT WS J Misc Exp"/>
      <sheetName val="SWT WS K State Taxes"/>
      <sheetName val="SWT WS L Other Taxes"/>
      <sheetName val="SWT WS M Cost of Debt"/>
      <sheetName val="SWT WS N Avg Cap Structure"/>
      <sheetName val="SWT Worksheet O  PBOP"/>
    </sheetNames>
    <sheetDataSet>
      <sheetData sheetId="0"/>
      <sheetData sheetId="1"/>
      <sheetData sheetId="2"/>
      <sheetData sheetId="3"/>
      <sheetData sheetId="4"/>
      <sheetData sheetId="5"/>
      <sheetData sheetId="6"/>
      <sheetData sheetId="7"/>
      <sheetData sheetId="8">
        <row r="367">
          <cell r="I367" t="str">
            <v>PSO_Alloc_Allocators</v>
          </cell>
        </row>
        <row r="368">
          <cell r="I368" t="str">
            <v>DA</v>
          </cell>
          <cell r="J368">
            <v>1</v>
          </cell>
        </row>
        <row r="369">
          <cell r="I369" t="str">
            <v>GP(h)</v>
          </cell>
          <cell r="J369">
            <v>1</v>
          </cell>
        </row>
        <row r="370">
          <cell r="I370" t="str">
            <v xml:space="preserve">GTD </v>
          </cell>
          <cell r="J370">
            <v>0.99999999999999845</v>
          </cell>
        </row>
        <row r="371">
          <cell r="I371" t="str">
            <v>NA</v>
          </cell>
          <cell r="J371">
            <v>0</v>
          </cell>
        </row>
        <row r="372">
          <cell r="I372" t="str">
            <v>NP(h)</v>
          </cell>
          <cell r="J372">
            <v>1</v>
          </cell>
        </row>
        <row r="373">
          <cell r="I373" t="str">
            <v>TP</v>
          </cell>
          <cell r="J373">
            <v>1</v>
          </cell>
        </row>
        <row r="374">
          <cell r="I374" t="str">
            <v>TP1</v>
          </cell>
          <cell r="J374">
            <v>1</v>
          </cell>
        </row>
        <row r="375">
          <cell r="I375" t="str">
            <v>W/S</v>
          </cell>
          <cell r="J375">
            <v>0.99831502051802867</v>
          </cell>
        </row>
      </sheetData>
      <sheetData sheetId="9">
        <row r="1">
          <cell r="O1">
            <v>2016</v>
          </cell>
        </row>
        <row r="2">
          <cell r="O2">
            <v>2017</v>
          </cell>
        </row>
        <row r="7">
          <cell r="F7" t="str">
            <v>AEP OKLAHOMA TRANSMISSION COMPANY, INC</v>
          </cell>
        </row>
        <row r="97">
          <cell r="G97">
            <v>0</v>
          </cell>
        </row>
        <row r="136">
          <cell r="G136">
            <v>3526172</v>
          </cell>
        </row>
        <row r="137">
          <cell r="G137">
            <v>67801</v>
          </cell>
        </row>
        <row r="138">
          <cell r="G138">
            <v>0</v>
          </cell>
        </row>
        <row r="142">
          <cell r="G142">
            <v>2261480</v>
          </cell>
        </row>
        <row r="143">
          <cell r="G143">
            <v>105769</v>
          </cell>
        </row>
        <row r="144">
          <cell r="G144">
            <v>0</v>
          </cell>
        </row>
        <row r="145">
          <cell r="G145">
            <v>0</v>
          </cell>
        </row>
        <row r="146">
          <cell r="G146">
            <v>51779</v>
          </cell>
        </row>
        <row r="158">
          <cell r="G158">
            <v>10548201</v>
          </cell>
        </row>
        <row r="161">
          <cell r="G161">
            <v>0</v>
          </cell>
        </row>
        <row r="162">
          <cell r="G162">
            <v>574183</v>
          </cell>
        </row>
        <row r="180">
          <cell r="G180">
            <v>0</v>
          </cell>
        </row>
        <row r="217">
          <cell r="F217">
            <v>0</v>
          </cell>
          <cell r="G217">
            <v>763113</v>
          </cell>
        </row>
        <row r="218">
          <cell r="F218">
            <v>0</v>
          </cell>
          <cell r="G218">
            <v>0</v>
          </cell>
        </row>
        <row r="220">
          <cell r="F220">
            <v>0</v>
          </cell>
        </row>
        <row r="240">
          <cell r="J240">
            <v>0.112</v>
          </cell>
        </row>
        <row r="243">
          <cell r="E243">
            <v>0.5</v>
          </cell>
        </row>
        <row r="262">
          <cell r="E262">
            <v>0.52500000000000002</v>
          </cell>
        </row>
        <row r="326">
          <cell r="F326">
            <v>0.35</v>
          </cell>
        </row>
        <row r="328">
          <cell r="F328">
            <v>0</v>
          </cell>
        </row>
        <row r="368">
          <cell r="I368" t="str">
            <v>DA</v>
          </cell>
          <cell r="J368">
            <v>1</v>
          </cell>
        </row>
        <row r="369">
          <cell r="I369" t="str">
            <v>GP(h)</v>
          </cell>
          <cell r="J369">
            <v>1</v>
          </cell>
        </row>
        <row r="370">
          <cell r="I370" t="str">
            <v xml:space="preserve">GTD </v>
          </cell>
          <cell r="J370">
            <v>0.99999999999999845</v>
          </cell>
        </row>
        <row r="371">
          <cell r="I371" t="str">
            <v>NA</v>
          </cell>
          <cell r="J371">
            <v>0</v>
          </cell>
        </row>
        <row r="372">
          <cell r="I372" t="str">
            <v>NP(h)</v>
          </cell>
          <cell r="J372">
            <v>1</v>
          </cell>
        </row>
        <row r="373">
          <cell r="I373" t="str">
            <v>TP</v>
          </cell>
          <cell r="J373">
            <v>1</v>
          </cell>
        </row>
        <row r="374">
          <cell r="I374" t="str">
            <v>TP1</v>
          </cell>
          <cell r="J374">
            <v>1</v>
          </cell>
        </row>
        <row r="375">
          <cell r="I375" t="str">
            <v>W/S</v>
          </cell>
          <cell r="J375">
            <v>0.99831502051802867</v>
          </cell>
        </row>
      </sheetData>
      <sheetData sheetId="10"/>
      <sheetData sheetId="11">
        <row r="6">
          <cell r="E6" t="str">
            <v>(C)</v>
          </cell>
          <cell r="G6" t="str">
            <v>(E)</v>
          </cell>
        </row>
        <row r="18">
          <cell r="A18">
            <v>3</v>
          </cell>
          <cell r="G18">
            <v>536477054.5</v>
          </cell>
        </row>
        <row r="20">
          <cell r="G20">
            <v>0</v>
          </cell>
        </row>
        <row r="26">
          <cell r="G26">
            <v>8437125</v>
          </cell>
        </row>
        <row r="28">
          <cell r="G28">
            <v>0</v>
          </cell>
        </row>
        <row r="30">
          <cell r="G30">
            <v>3191777</v>
          </cell>
        </row>
        <row r="42">
          <cell r="G42">
            <v>21643107.579999998</v>
          </cell>
        </row>
        <row r="44">
          <cell r="G44">
            <v>0</v>
          </cell>
        </row>
        <row r="50">
          <cell r="G50">
            <v>0</v>
          </cell>
        </row>
        <row r="52">
          <cell r="G52">
            <v>0</v>
          </cell>
        </row>
        <row r="54">
          <cell r="G54">
            <v>1050649.5</v>
          </cell>
        </row>
        <row r="62">
          <cell r="A62">
            <v>23</v>
          </cell>
          <cell r="G62">
            <v>0</v>
          </cell>
        </row>
        <row r="74">
          <cell r="G74">
            <v>21643107.579999998</v>
          </cell>
        </row>
        <row r="78">
          <cell r="G78">
            <v>0</v>
          </cell>
        </row>
        <row r="80">
          <cell r="G80">
            <v>0</v>
          </cell>
        </row>
        <row r="88">
          <cell r="G88">
            <v>0</v>
          </cell>
        </row>
        <row r="90">
          <cell r="A90">
            <v>37</v>
          </cell>
        </row>
        <row r="96">
          <cell r="A96" t="str">
            <v xml:space="preserve">NOTE 1 </v>
          </cell>
        </row>
      </sheetData>
      <sheetData sheetId="12"/>
      <sheetData sheetId="13">
        <row r="27">
          <cell r="D27">
            <v>-102490379.48499998</v>
          </cell>
        </row>
        <row r="29">
          <cell r="J29">
            <v>-96437305.211112067</v>
          </cell>
        </row>
        <row r="44">
          <cell r="D44">
            <v>-22967971.960000001</v>
          </cell>
        </row>
        <row r="46">
          <cell r="J46">
            <v>-18466247.010000002</v>
          </cell>
        </row>
        <row r="62">
          <cell r="D62">
            <v>20581176.27</v>
          </cell>
        </row>
        <row r="64">
          <cell r="J64">
            <v>3788660.6247032923</v>
          </cell>
        </row>
        <row r="79">
          <cell r="D79">
            <v>0</v>
          </cell>
        </row>
        <row r="81">
          <cell r="J81">
            <v>0</v>
          </cell>
        </row>
      </sheetData>
      <sheetData sheetId="14"/>
      <sheetData sheetId="15"/>
      <sheetData sheetId="16">
        <row r="6">
          <cell r="I6" t="str">
            <v>(F)</v>
          </cell>
        </row>
        <row r="15">
          <cell r="A15">
            <v>2</v>
          </cell>
          <cell r="I15">
            <v>0</v>
          </cell>
        </row>
        <row r="17">
          <cell r="A17">
            <v>3</v>
          </cell>
          <cell r="I17">
            <v>0</v>
          </cell>
        </row>
        <row r="19">
          <cell r="A19">
            <v>4</v>
          </cell>
          <cell r="I19">
            <v>0</v>
          </cell>
        </row>
        <row r="29">
          <cell r="E29">
            <v>0</v>
          </cell>
          <cell r="G29">
            <v>14900</v>
          </cell>
          <cell r="I29">
            <v>63586.195</v>
          </cell>
          <cell r="J29">
            <v>0</v>
          </cell>
        </row>
      </sheetData>
      <sheetData sheetId="17">
        <row r="21">
          <cell r="A21">
            <v>8</v>
          </cell>
          <cell r="C21">
            <v>0</v>
          </cell>
        </row>
      </sheetData>
      <sheetData sheetId="18"/>
      <sheetData sheetId="19">
        <row r="18">
          <cell r="N18">
            <v>17022289.718872193</v>
          </cell>
          <cell r="P18">
            <v>0</v>
          </cell>
        </row>
      </sheetData>
      <sheetData sheetId="20">
        <row r="28">
          <cell r="M28">
            <v>0</v>
          </cell>
        </row>
        <row r="46">
          <cell r="M46">
            <v>2431724.1499999985</v>
          </cell>
        </row>
      </sheetData>
      <sheetData sheetId="21">
        <row r="21">
          <cell r="B21">
            <v>14</v>
          </cell>
          <cell r="G21">
            <v>0</v>
          </cell>
        </row>
      </sheetData>
      <sheetData sheetId="22">
        <row r="23">
          <cell r="F23">
            <v>0</v>
          </cell>
        </row>
        <row r="43">
          <cell r="F43">
            <v>0</v>
          </cell>
        </row>
        <row r="52">
          <cell r="A52">
            <v>32</v>
          </cell>
          <cell r="F52">
            <v>0</v>
          </cell>
        </row>
      </sheetData>
      <sheetData sheetId="23">
        <row r="18">
          <cell r="F18">
            <v>5.6599999999999998E-2</v>
          </cell>
        </row>
        <row r="41">
          <cell r="Q41">
            <v>0</v>
          </cell>
          <cell r="S41">
            <v>0</v>
          </cell>
        </row>
      </sheetData>
      <sheetData sheetId="24">
        <row r="46">
          <cell r="G46">
            <v>4716407</v>
          </cell>
          <cell r="I46">
            <v>0</v>
          </cell>
          <cell r="K46">
            <v>20000</v>
          </cell>
          <cell r="M46">
            <v>0</v>
          </cell>
        </row>
      </sheetData>
      <sheetData sheetId="25">
        <row r="6">
          <cell r="F6" t="str">
            <v>(E)</v>
          </cell>
        </row>
      </sheetData>
      <sheetData sheetId="26">
        <row r="6">
          <cell r="E6" t="str">
            <v>(E)</v>
          </cell>
        </row>
        <row r="11">
          <cell r="A11">
            <v>1</v>
          </cell>
          <cell r="E11">
            <v>251688904</v>
          </cell>
        </row>
        <row r="12">
          <cell r="A12">
            <v>2</v>
          </cell>
          <cell r="E12">
            <v>0</v>
          </cell>
        </row>
        <row r="13">
          <cell r="A13">
            <v>3</v>
          </cell>
          <cell r="E13">
            <v>0</v>
          </cell>
        </row>
        <row r="14">
          <cell r="A14">
            <v>4</v>
          </cell>
          <cell r="E14">
            <v>0</v>
          </cell>
        </row>
        <row r="23">
          <cell r="A23">
            <v>10</v>
          </cell>
          <cell r="E23">
            <v>247100000</v>
          </cell>
        </row>
        <row r="32">
          <cell r="E32">
            <v>8825886</v>
          </cell>
        </row>
        <row r="70">
          <cell r="E70">
            <v>0</v>
          </cell>
        </row>
        <row r="73">
          <cell r="A73">
            <v>46</v>
          </cell>
        </row>
        <row r="74">
          <cell r="E74">
            <v>0</v>
          </cell>
        </row>
      </sheetData>
      <sheetData sheetId="27">
        <row r="30">
          <cell r="A30">
            <v>16</v>
          </cell>
          <cell r="D30">
            <v>185377.80835279575</v>
          </cell>
        </row>
      </sheetData>
      <sheetData sheetId="28">
        <row r="368">
          <cell r="I368" t="str">
            <v>SWP_Proj_Allocators</v>
          </cell>
        </row>
        <row r="369">
          <cell r="I369" t="str">
            <v>DA</v>
          </cell>
          <cell r="J369">
            <v>1</v>
          </cell>
        </row>
        <row r="370">
          <cell r="I370" t="str">
            <v>GP(h)</v>
          </cell>
          <cell r="J370">
            <v>0</v>
          </cell>
        </row>
        <row r="371">
          <cell r="I371" t="str">
            <v xml:space="preserve">GTD </v>
          </cell>
          <cell r="J371">
            <v>0</v>
          </cell>
        </row>
        <row r="372">
          <cell r="I372" t="str">
            <v>NA</v>
          </cell>
          <cell r="J372">
            <v>0</v>
          </cell>
        </row>
        <row r="373">
          <cell r="I373" t="str">
            <v>NP(h)</v>
          </cell>
          <cell r="J373">
            <v>0</v>
          </cell>
        </row>
        <row r="374">
          <cell r="I374" t="str">
            <v>TP</v>
          </cell>
          <cell r="J374">
            <v>0</v>
          </cell>
        </row>
        <row r="375">
          <cell r="I375" t="str">
            <v>TP1</v>
          </cell>
          <cell r="J375">
            <v>0</v>
          </cell>
        </row>
        <row r="376">
          <cell r="I376" t="str">
            <v>W/S</v>
          </cell>
          <cell r="J376">
            <v>1</v>
          </cell>
        </row>
      </sheetData>
      <sheetData sheetId="29">
        <row r="368">
          <cell r="I368" t="str">
            <v>SWP_Hist_Allocators</v>
          </cell>
        </row>
        <row r="369">
          <cell r="I369" t="str">
            <v>DA</v>
          </cell>
          <cell r="J369">
            <v>1</v>
          </cell>
        </row>
        <row r="370">
          <cell r="I370" t="str">
            <v>GP(h)</v>
          </cell>
          <cell r="J370">
            <v>0</v>
          </cell>
        </row>
        <row r="371">
          <cell r="I371" t="str">
            <v xml:space="preserve">GTD </v>
          </cell>
          <cell r="J371">
            <v>0</v>
          </cell>
        </row>
        <row r="372">
          <cell r="I372" t="str">
            <v>NA</v>
          </cell>
          <cell r="J372">
            <v>0</v>
          </cell>
        </row>
        <row r="373">
          <cell r="I373" t="str">
            <v>NP(h)</v>
          </cell>
          <cell r="J373">
            <v>0</v>
          </cell>
        </row>
        <row r="374">
          <cell r="I374" t="str">
            <v>TP</v>
          </cell>
          <cell r="J374">
            <v>0</v>
          </cell>
        </row>
        <row r="375">
          <cell r="I375" t="str">
            <v>TP1</v>
          </cell>
          <cell r="J375">
            <v>0</v>
          </cell>
        </row>
        <row r="376">
          <cell r="I376" t="str">
            <v>W/S</v>
          </cell>
          <cell r="J376">
            <v>1</v>
          </cell>
        </row>
      </sheetData>
      <sheetData sheetId="30">
        <row r="341">
          <cell r="I341" t="str">
            <v>DA</v>
          </cell>
          <cell r="J341">
            <v>1</v>
          </cell>
        </row>
        <row r="342">
          <cell r="I342" t="str">
            <v>GP(TU)</v>
          </cell>
          <cell r="J342">
            <v>1</v>
          </cell>
        </row>
        <row r="343">
          <cell r="I343" t="str">
            <v xml:space="preserve">GTD </v>
          </cell>
          <cell r="J343">
            <v>1</v>
          </cell>
        </row>
        <row r="344">
          <cell r="I344" t="str">
            <v>NA</v>
          </cell>
          <cell r="J344">
            <v>0</v>
          </cell>
        </row>
        <row r="345">
          <cell r="I345" t="str">
            <v>NP(TU)</v>
          </cell>
          <cell r="J345">
            <v>1</v>
          </cell>
        </row>
        <row r="346">
          <cell r="I346" t="str">
            <v>TP</v>
          </cell>
          <cell r="J346">
            <v>1</v>
          </cell>
        </row>
        <row r="347">
          <cell r="I347" t="str">
            <v>TP1</v>
          </cell>
          <cell r="J347">
            <v>0</v>
          </cell>
        </row>
        <row r="348">
          <cell r="I348" t="str">
            <v>W/S</v>
          </cell>
          <cell r="J348">
            <v>1</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ued-Up Zonal Rates"/>
      <sheetName val="Projected Zonal Rates"/>
      <sheetName val="Sch 1A Rates (2)"/>
      <sheetName val="Sch 1 Rates"/>
      <sheetName val="Sch 11 Rate by Project"/>
      <sheetName val="Load WS"/>
      <sheetName val="OKT Projected TCOS"/>
      <sheetName val="OKT Historic TCOS"/>
      <sheetName val="OKT True-Up TCOS"/>
      <sheetName val="OKT WS A RB Support "/>
      <sheetName val="OKT WS B Projected Plant"/>
      <sheetName val="OKT WS C RB Tax"/>
      <sheetName val="OKT  WS C-1 DFIT WP 12-31-17"/>
      <sheetName val="OKT  WS C-2 DFIT WP 12-31-16"/>
      <sheetName val="OKT WS D Working Capital"/>
      <sheetName val="OKT WS E IPP Credits"/>
      <sheetName val="OKT WS F BPU ATRR Projected"/>
      <sheetName val="OKT WS G BPU ATRR True-up"/>
      <sheetName val="OKT WS H Rev Credits"/>
      <sheetName val="OKT WS I Exp Adj"/>
      <sheetName val="OKT WS J Misc Exp"/>
      <sheetName val="OKT WS K State Taxes"/>
      <sheetName val="OKT WS L Other Taxes"/>
      <sheetName val="OKT WS M Cost of Debt for Proj."/>
      <sheetName val="OKT WS N Avg Cap Structure"/>
      <sheetName val="OKT WS O  PBOP"/>
      <sheetName val="SWT Projected TCOS"/>
      <sheetName val="SWT Historic TCOS"/>
      <sheetName val="SWT True-UP TCOS"/>
      <sheetName val="SWT WS A  - RB Support"/>
      <sheetName val="SWT WS B Projected Plant"/>
      <sheetName val="SWT WS C RB Tax"/>
      <sheetName val="SWT WS C-1 DFIT WP 12-31-17"/>
      <sheetName val="SWT WS C-2 DFIT WP 12-31-16"/>
      <sheetName val="SWT WS D Working Capital"/>
      <sheetName val="SWT WS E IPP Credits"/>
      <sheetName val="SWT WS F BPU ATRR Projected"/>
      <sheetName val="SWT WS G BPU ATRR True-up"/>
      <sheetName val="SWT WS H Rev Credits"/>
      <sheetName val="SWT WS I Exp Adj"/>
      <sheetName val="SWT WS J Misc Exp"/>
      <sheetName val="SWT WS K State Taxes"/>
      <sheetName val="SWT WS L Other Taxes"/>
      <sheetName val="SWT WS M Cost of Debt"/>
      <sheetName val="SWT WS N Avg Cap Structure"/>
      <sheetName val="SWT Worksheet O  PBOP"/>
    </sheetNames>
    <sheetDataSet>
      <sheetData sheetId="0"/>
      <sheetData sheetId="1"/>
      <sheetData sheetId="2"/>
      <sheetData sheetId="3"/>
      <sheetData sheetId="4"/>
      <sheetData sheetId="5"/>
      <sheetData sheetId="6">
        <row r="367">
          <cell r="I367" t="str">
            <v>PSO_Alloc_Allocators</v>
          </cell>
        </row>
        <row r="368">
          <cell r="I368" t="str">
            <v>DA</v>
          </cell>
          <cell r="J368">
            <v>1</v>
          </cell>
        </row>
        <row r="369">
          <cell r="I369" t="str">
            <v>GP(h)</v>
          </cell>
          <cell r="J369">
            <v>0.94234877508622972</v>
          </cell>
        </row>
        <row r="370">
          <cell r="I370" t="str">
            <v xml:space="preserve">GTD </v>
          </cell>
          <cell r="J370">
            <v>0.99999999999999889</v>
          </cell>
        </row>
        <row r="371">
          <cell r="I371" t="str">
            <v>NA</v>
          </cell>
          <cell r="J371">
            <v>0</v>
          </cell>
        </row>
        <row r="372">
          <cell r="I372" t="str">
            <v>NP(h)</v>
          </cell>
          <cell r="J372">
            <v>0.939149912446687</v>
          </cell>
        </row>
        <row r="373">
          <cell r="I373" t="str">
            <v>TP</v>
          </cell>
          <cell r="J373">
            <v>0</v>
          </cell>
        </row>
        <row r="374">
          <cell r="I374" t="str">
            <v>TP1</v>
          </cell>
          <cell r="J374">
            <v>0</v>
          </cell>
        </row>
        <row r="375">
          <cell r="I375" t="str">
            <v>W/S</v>
          </cell>
          <cell r="J375">
            <v>0</v>
          </cell>
        </row>
      </sheetData>
      <sheetData sheetId="7">
        <row r="1">
          <cell r="O1">
            <v>2017</v>
          </cell>
        </row>
        <row r="2">
          <cell r="O2">
            <v>2018</v>
          </cell>
        </row>
        <row r="7">
          <cell r="F7" t="str">
            <v>AEP OKLAHOMA TRANSMISSION COMPANY, INC</v>
          </cell>
        </row>
        <row r="97">
          <cell r="G97">
            <v>0</v>
          </cell>
        </row>
        <row r="136">
          <cell r="G136">
            <v>8931259</v>
          </cell>
        </row>
        <row r="137">
          <cell r="G137">
            <v>573281</v>
          </cell>
        </row>
        <row r="138">
          <cell r="G138">
            <v>0</v>
          </cell>
        </row>
        <row r="142">
          <cell r="G142">
            <v>2634355</v>
          </cell>
        </row>
        <row r="143">
          <cell r="G143">
            <v>84727</v>
          </cell>
        </row>
        <row r="144">
          <cell r="G144">
            <v>48496</v>
          </cell>
        </row>
        <row r="145">
          <cell r="G145">
            <v>1705</v>
          </cell>
        </row>
        <row r="146">
          <cell r="G146">
            <v>38217</v>
          </cell>
        </row>
        <row r="158">
          <cell r="G158">
            <v>18588776</v>
          </cell>
        </row>
        <row r="161">
          <cell r="G161">
            <v>98396</v>
          </cell>
        </row>
        <row r="162">
          <cell r="G162">
            <v>944660</v>
          </cell>
        </row>
        <row r="180">
          <cell r="G180">
            <v>0</v>
          </cell>
        </row>
        <row r="217">
          <cell r="F217">
            <v>0</v>
          </cell>
          <cell r="G217">
            <v>2367870</v>
          </cell>
        </row>
        <row r="218">
          <cell r="F218">
            <v>0</v>
          </cell>
          <cell r="G218">
            <v>0</v>
          </cell>
        </row>
        <row r="220">
          <cell r="F220">
            <v>0</v>
          </cell>
        </row>
        <row r="240">
          <cell r="J240">
            <v>0.112</v>
          </cell>
        </row>
        <row r="243">
          <cell r="E243">
            <v>0.5</v>
          </cell>
        </row>
        <row r="262">
          <cell r="E262">
            <v>0.52500000000000002</v>
          </cell>
        </row>
        <row r="326">
          <cell r="F326">
            <v>0.35</v>
          </cell>
        </row>
        <row r="328">
          <cell r="F328">
            <v>0</v>
          </cell>
        </row>
        <row r="368">
          <cell r="I368" t="str">
            <v>DA</v>
          </cell>
          <cell r="J368">
            <v>1</v>
          </cell>
        </row>
        <row r="369">
          <cell r="I369" t="str">
            <v>GP(h)</v>
          </cell>
          <cell r="J369">
            <v>0.94234877508622972</v>
          </cell>
        </row>
        <row r="370">
          <cell r="I370" t="str">
            <v xml:space="preserve">GTD </v>
          </cell>
          <cell r="J370">
            <v>0.99999999999999889</v>
          </cell>
        </row>
        <row r="371">
          <cell r="I371" t="str">
            <v>NA</v>
          </cell>
          <cell r="J371">
            <v>0</v>
          </cell>
        </row>
        <row r="372">
          <cell r="I372" t="str">
            <v>NP(h)</v>
          </cell>
          <cell r="J372">
            <v>0.939149912446687</v>
          </cell>
        </row>
        <row r="373">
          <cell r="I373" t="str">
            <v>TP</v>
          </cell>
          <cell r="J373">
            <v>0.94075488324585266</v>
          </cell>
        </row>
        <row r="374">
          <cell r="I374" t="str">
            <v>TP1</v>
          </cell>
          <cell r="J374">
            <v>1</v>
          </cell>
        </row>
        <row r="375">
          <cell r="I375" t="str">
            <v>W/S</v>
          </cell>
          <cell r="J375">
            <v>0.94075488324545553</v>
          </cell>
        </row>
      </sheetData>
      <sheetData sheetId="8"/>
      <sheetData sheetId="9">
        <row r="6">
          <cell r="E6" t="str">
            <v>(C)</v>
          </cell>
          <cell r="G6" t="str">
            <v>(E)</v>
          </cell>
        </row>
        <row r="18">
          <cell r="A18">
            <v>3</v>
          </cell>
          <cell r="G18">
            <v>740877397</v>
          </cell>
        </row>
        <row r="20">
          <cell r="G20">
            <v>0</v>
          </cell>
        </row>
        <row r="26">
          <cell r="G26">
            <v>17000063.5</v>
          </cell>
        </row>
        <row r="28">
          <cell r="G28">
            <v>0</v>
          </cell>
        </row>
        <row r="30">
          <cell r="G30">
            <v>5121473</v>
          </cell>
        </row>
        <row r="42">
          <cell r="G42">
            <v>35210555.055</v>
          </cell>
        </row>
        <row r="44">
          <cell r="G44">
            <v>0</v>
          </cell>
        </row>
        <row r="50">
          <cell r="G50">
            <v>49198</v>
          </cell>
        </row>
        <row r="52">
          <cell r="G52">
            <v>0</v>
          </cell>
        </row>
        <row r="54">
          <cell r="G54">
            <v>1646266</v>
          </cell>
        </row>
        <row r="62">
          <cell r="A62">
            <v>23</v>
          </cell>
          <cell r="G62">
            <v>0</v>
          </cell>
        </row>
        <row r="74">
          <cell r="G74">
            <v>35210555.055</v>
          </cell>
        </row>
        <row r="78">
          <cell r="G78">
            <v>0</v>
          </cell>
        </row>
        <row r="80">
          <cell r="G80">
            <v>0</v>
          </cell>
        </row>
        <row r="88">
          <cell r="G88">
            <v>0</v>
          </cell>
        </row>
        <row r="90">
          <cell r="A90">
            <v>37</v>
          </cell>
        </row>
        <row r="96">
          <cell r="A96" t="str">
            <v xml:space="preserve">NOTE 1 </v>
          </cell>
        </row>
      </sheetData>
      <sheetData sheetId="10"/>
      <sheetData sheetId="11">
        <row r="27">
          <cell r="D27">
            <v>-138967187.20499998</v>
          </cell>
        </row>
        <row r="29">
          <cell r="J29">
            <v>-128929826.8780814</v>
          </cell>
        </row>
        <row r="44">
          <cell r="D44">
            <v>-30082607.450000003</v>
          </cell>
        </row>
        <row r="46">
          <cell r="J46">
            <v>-24402326.359999999</v>
          </cell>
        </row>
        <row r="62">
          <cell r="D62">
            <v>26611160.739999998</v>
          </cell>
        </row>
        <row r="64">
          <cell r="J64">
            <v>10169596.981641255</v>
          </cell>
        </row>
        <row r="79">
          <cell r="D79">
            <v>0</v>
          </cell>
        </row>
        <row r="81">
          <cell r="J81">
            <v>0</v>
          </cell>
        </row>
      </sheetData>
      <sheetData sheetId="12"/>
      <sheetData sheetId="13"/>
      <sheetData sheetId="14">
        <row r="6">
          <cell r="I6" t="str">
            <v>(F)</v>
          </cell>
        </row>
        <row r="15">
          <cell r="A15">
            <v>2</v>
          </cell>
          <cell r="I15">
            <v>0</v>
          </cell>
        </row>
        <row r="17">
          <cell r="A17">
            <v>3</v>
          </cell>
          <cell r="I17">
            <v>0</v>
          </cell>
        </row>
        <row r="19">
          <cell r="A19">
            <v>4</v>
          </cell>
          <cell r="I19">
            <v>0</v>
          </cell>
        </row>
        <row r="29">
          <cell r="E29">
            <v>0</v>
          </cell>
          <cell r="G29">
            <v>7750</v>
          </cell>
          <cell r="I29">
            <v>65004.57</v>
          </cell>
          <cell r="J29">
            <v>0</v>
          </cell>
        </row>
      </sheetData>
      <sheetData sheetId="15">
        <row r="21">
          <cell r="A21">
            <v>8</v>
          </cell>
          <cell r="C21">
            <v>30000</v>
          </cell>
        </row>
      </sheetData>
      <sheetData sheetId="16"/>
      <sheetData sheetId="17">
        <row r="18">
          <cell r="N18">
            <v>30557710.372455016</v>
          </cell>
          <cell r="P18">
            <v>0</v>
          </cell>
        </row>
      </sheetData>
      <sheetData sheetId="18">
        <row r="28">
          <cell r="M28">
            <v>2226132.9900000002</v>
          </cell>
        </row>
        <row r="46">
          <cell r="M46">
            <v>2313215.2200000137</v>
          </cell>
        </row>
      </sheetData>
      <sheetData sheetId="19">
        <row r="21">
          <cell r="B21">
            <v>14</v>
          </cell>
          <cell r="G21">
            <v>0</v>
          </cell>
        </row>
      </sheetData>
      <sheetData sheetId="20">
        <row r="23">
          <cell r="F23">
            <v>47729.9</v>
          </cell>
        </row>
        <row r="43">
          <cell r="F43">
            <v>0</v>
          </cell>
        </row>
        <row r="52">
          <cell r="A52">
            <v>32</v>
          </cell>
          <cell r="F52">
            <v>0</v>
          </cell>
        </row>
      </sheetData>
      <sheetData sheetId="21">
        <row r="18">
          <cell r="F18">
            <v>5.6599999999999998E-2</v>
          </cell>
        </row>
        <row r="41">
          <cell r="Q41">
            <v>0</v>
          </cell>
          <cell r="S41">
            <v>0</v>
          </cell>
        </row>
      </sheetData>
      <sheetData sheetId="22">
        <row r="46">
          <cell r="G46">
            <v>6878965.25</v>
          </cell>
          <cell r="I46">
            <v>0</v>
          </cell>
          <cell r="K46">
            <v>20000.25</v>
          </cell>
          <cell r="M46">
            <v>0</v>
          </cell>
        </row>
      </sheetData>
      <sheetData sheetId="23">
        <row r="6">
          <cell r="F6" t="str">
            <v>(E)</v>
          </cell>
        </row>
      </sheetData>
      <sheetData sheetId="24">
        <row r="6">
          <cell r="E6" t="str">
            <v>(E)</v>
          </cell>
        </row>
        <row r="11">
          <cell r="A11">
            <v>1</v>
          </cell>
          <cell r="E11">
            <v>328369681</v>
          </cell>
        </row>
        <row r="12">
          <cell r="A12">
            <v>2</v>
          </cell>
          <cell r="E12">
            <v>0</v>
          </cell>
        </row>
        <row r="13">
          <cell r="A13">
            <v>3</v>
          </cell>
          <cell r="E13">
            <v>0</v>
          </cell>
        </row>
        <row r="14">
          <cell r="A14">
            <v>4</v>
          </cell>
          <cell r="E14">
            <v>0</v>
          </cell>
        </row>
        <row r="23">
          <cell r="A23">
            <v>10</v>
          </cell>
          <cell r="E23">
            <v>323100000</v>
          </cell>
        </row>
        <row r="32">
          <cell r="E32">
            <v>12649050</v>
          </cell>
        </row>
        <row r="70">
          <cell r="E70">
            <v>0</v>
          </cell>
        </row>
        <row r="73">
          <cell r="A73">
            <v>46</v>
          </cell>
        </row>
        <row r="74">
          <cell r="E74">
            <v>0</v>
          </cell>
        </row>
      </sheetData>
      <sheetData sheetId="25">
        <row r="30">
          <cell r="A30">
            <v>16</v>
          </cell>
          <cell r="D30">
            <v>430983.59644076577</v>
          </cell>
        </row>
      </sheetData>
      <sheetData sheetId="26">
        <row r="368">
          <cell r="I368" t="str">
            <v>SWP_Proj_Allocators</v>
          </cell>
        </row>
        <row r="369">
          <cell r="I369" t="str">
            <v>DA</v>
          </cell>
          <cell r="J369">
            <v>1</v>
          </cell>
        </row>
        <row r="370">
          <cell r="I370" t="str">
            <v>GP(h)</v>
          </cell>
          <cell r="J370">
            <v>0</v>
          </cell>
        </row>
        <row r="371">
          <cell r="I371" t="str">
            <v xml:space="preserve">GTD </v>
          </cell>
          <cell r="J371">
            <v>0</v>
          </cell>
        </row>
        <row r="372">
          <cell r="I372" t="str">
            <v>NA</v>
          </cell>
          <cell r="J372">
            <v>0</v>
          </cell>
        </row>
        <row r="373">
          <cell r="I373" t="str">
            <v>NP(h)</v>
          </cell>
          <cell r="J373">
            <v>0</v>
          </cell>
        </row>
        <row r="374">
          <cell r="I374" t="str">
            <v>TP</v>
          </cell>
          <cell r="J374">
            <v>0</v>
          </cell>
        </row>
        <row r="375">
          <cell r="I375" t="str">
            <v>TP1</v>
          </cell>
          <cell r="J375">
            <v>0</v>
          </cell>
        </row>
        <row r="376">
          <cell r="I376" t="str">
            <v>W/S</v>
          </cell>
          <cell r="J376">
            <v>1</v>
          </cell>
        </row>
      </sheetData>
      <sheetData sheetId="27">
        <row r="368">
          <cell r="I368" t="str">
            <v>SWP_Hist_Allocators</v>
          </cell>
        </row>
        <row r="369">
          <cell r="I369" t="str">
            <v>DA</v>
          </cell>
          <cell r="J369">
            <v>1</v>
          </cell>
        </row>
        <row r="370">
          <cell r="I370" t="str">
            <v>GP(h)</v>
          </cell>
          <cell r="J370">
            <v>0</v>
          </cell>
        </row>
        <row r="371">
          <cell r="I371" t="str">
            <v xml:space="preserve">GTD </v>
          </cell>
          <cell r="J371">
            <v>0</v>
          </cell>
        </row>
        <row r="372">
          <cell r="I372" t="str">
            <v>NA</v>
          </cell>
          <cell r="J372">
            <v>0</v>
          </cell>
        </row>
        <row r="373">
          <cell r="I373" t="str">
            <v>NP(h)</v>
          </cell>
          <cell r="J373">
            <v>0</v>
          </cell>
        </row>
        <row r="374">
          <cell r="I374" t="str">
            <v>TP</v>
          </cell>
          <cell r="J374">
            <v>0</v>
          </cell>
        </row>
        <row r="375">
          <cell r="I375" t="str">
            <v>TP1</v>
          </cell>
          <cell r="J375">
            <v>0</v>
          </cell>
        </row>
        <row r="376">
          <cell r="I376" t="str">
            <v>W/S</v>
          </cell>
          <cell r="J376">
            <v>1</v>
          </cell>
        </row>
      </sheetData>
      <sheetData sheetId="28">
        <row r="341">
          <cell r="I341" t="str">
            <v>DA</v>
          </cell>
          <cell r="J341">
            <v>1</v>
          </cell>
        </row>
        <row r="342">
          <cell r="I342" t="str">
            <v>GP(TU)</v>
          </cell>
          <cell r="J342">
            <v>1</v>
          </cell>
        </row>
        <row r="343">
          <cell r="I343" t="str">
            <v xml:space="preserve">GTD </v>
          </cell>
          <cell r="J343">
            <v>1</v>
          </cell>
        </row>
        <row r="344">
          <cell r="I344" t="str">
            <v>NA</v>
          </cell>
          <cell r="J344">
            <v>0</v>
          </cell>
        </row>
        <row r="345">
          <cell r="I345" t="str">
            <v>NP(TU)</v>
          </cell>
          <cell r="J345">
            <v>1</v>
          </cell>
        </row>
        <row r="346">
          <cell r="I346" t="str">
            <v>TP</v>
          </cell>
          <cell r="J346">
            <v>1</v>
          </cell>
        </row>
        <row r="347">
          <cell r="I347" t="str">
            <v>TP1</v>
          </cell>
          <cell r="J347">
            <v>0</v>
          </cell>
        </row>
        <row r="348">
          <cell r="I348" t="str">
            <v>W/S</v>
          </cell>
          <cell r="J348">
            <v>1</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 Rate -  Projected"/>
      <sheetName val="Formula Rate - Historic"/>
      <sheetName val="Formula Rate - True-UP"/>
      <sheetName val="Worksheet A"/>
      <sheetName val="Worksheet B"/>
      <sheetName val="Worksheet C"/>
      <sheetName val="Worksheet D"/>
      <sheetName val="Worksheet E"/>
      <sheetName val="Worksheet F"/>
      <sheetName val="Worksheet G"/>
      <sheetName val="Worksheet H"/>
      <sheetName val="Worksheet I"/>
      <sheetName val="Worksheet J"/>
      <sheetName val="Worksheet K"/>
      <sheetName val="Worksheet L"/>
      <sheetName val="Worksheet M"/>
      <sheetName val="Worksheet N"/>
      <sheetName val="Worksheet O"/>
    </sheetNames>
    <sheetDataSet>
      <sheetData sheetId="0"/>
      <sheetData sheetId="1">
        <row r="1">
          <cell r="O1">
            <v>2009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29"/>
  <sheetViews>
    <sheetView tabSelected="1" zoomScale="85" zoomScaleNormal="85" zoomScaleSheetLayoutView="100" workbookViewId="0">
      <selection activeCell="F13" sqref="F13"/>
    </sheetView>
  </sheetViews>
  <sheetFormatPr defaultColWidth="33.28515625" defaultRowHeight="12.75"/>
  <cols>
    <col min="1" max="1" width="14" style="108" customWidth="1"/>
    <col min="2" max="2" width="21.85546875" style="108" customWidth="1"/>
    <col min="3" max="3" width="15.5703125" style="108" customWidth="1"/>
    <col min="4" max="8" width="14" style="108" customWidth="1"/>
    <col min="9" max="9" width="15" style="108" customWidth="1"/>
    <col min="10" max="102" width="31.7109375" style="108" customWidth="1"/>
    <col min="103" max="103" width="11.42578125" style="108" customWidth="1"/>
    <col min="104" max="248" width="33.28515625" style="108"/>
    <col min="249" max="249" width="9.140625" style="108" customWidth="1"/>
    <col min="250" max="250" width="14" style="108" customWidth="1"/>
    <col min="251" max="251" width="21.85546875" style="108" customWidth="1"/>
    <col min="252" max="252" width="15.5703125" style="108" customWidth="1"/>
    <col min="253" max="264" width="14" style="108" customWidth="1"/>
    <col min="265" max="265" width="15" style="108" customWidth="1"/>
    <col min="266" max="358" width="31.7109375" style="108" customWidth="1"/>
    <col min="359" max="359" width="11.42578125" style="108" customWidth="1"/>
    <col min="360" max="504" width="33.28515625" style="108"/>
    <col min="505" max="505" width="9.140625" style="108" customWidth="1"/>
    <col min="506" max="506" width="14" style="108" customWidth="1"/>
    <col min="507" max="507" width="21.85546875" style="108" customWidth="1"/>
    <col min="508" max="508" width="15.5703125" style="108" customWidth="1"/>
    <col min="509" max="520" width="14" style="108" customWidth="1"/>
    <col min="521" max="521" width="15" style="108" customWidth="1"/>
    <col min="522" max="614" width="31.7109375" style="108" customWidth="1"/>
    <col min="615" max="615" width="11.42578125" style="108" customWidth="1"/>
    <col min="616" max="760" width="33.28515625" style="108"/>
    <col min="761" max="761" width="9.140625" style="108" customWidth="1"/>
    <col min="762" max="762" width="14" style="108" customWidth="1"/>
    <col min="763" max="763" width="21.85546875" style="108" customWidth="1"/>
    <col min="764" max="764" width="15.5703125" style="108" customWidth="1"/>
    <col min="765" max="776" width="14" style="108" customWidth="1"/>
    <col min="777" max="777" width="15" style="108" customWidth="1"/>
    <col min="778" max="870" width="31.7109375" style="108" customWidth="1"/>
    <col min="871" max="871" width="11.42578125" style="108" customWidth="1"/>
    <col min="872" max="1016" width="33.28515625" style="108"/>
    <col min="1017" max="1017" width="9.140625" style="108" customWidth="1"/>
    <col min="1018" max="1018" width="14" style="108" customWidth="1"/>
    <col min="1019" max="1019" width="21.85546875" style="108" customWidth="1"/>
    <col min="1020" max="1020" width="15.5703125" style="108" customWidth="1"/>
    <col min="1021" max="1032" width="14" style="108" customWidth="1"/>
    <col min="1033" max="1033" width="15" style="108" customWidth="1"/>
    <col min="1034" max="1126" width="31.7109375" style="108" customWidth="1"/>
    <col min="1127" max="1127" width="11.42578125" style="108" customWidth="1"/>
    <col min="1128" max="1272" width="33.28515625" style="108"/>
    <col min="1273" max="1273" width="9.140625" style="108" customWidth="1"/>
    <col min="1274" max="1274" width="14" style="108" customWidth="1"/>
    <col min="1275" max="1275" width="21.85546875" style="108" customWidth="1"/>
    <col min="1276" max="1276" width="15.5703125" style="108" customWidth="1"/>
    <col min="1277" max="1288" width="14" style="108" customWidth="1"/>
    <col min="1289" max="1289" width="15" style="108" customWidth="1"/>
    <col min="1290" max="1382" width="31.7109375" style="108" customWidth="1"/>
    <col min="1383" max="1383" width="11.42578125" style="108" customWidth="1"/>
    <col min="1384" max="1528" width="33.28515625" style="108"/>
    <col min="1529" max="1529" width="9.140625" style="108" customWidth="1"/>
    <col min="1530" max="1530" width="14" style="108" customWidth="1"/>
    <col min="1531" max="1531" width="21.85546875" style="108" customWidth="1"/>
    <col min="1532" max="1532" width="15.5703125" style="108" customWidth="1"/>
    <col min="1533" max="1544" width="14" style="108" customWidth="1"/>
    <col min="1545" max="1545" width="15" style="108" customWidth="1"/>
    <col min="1546" max="1638" width="31.7109375" style="108" customWidth="1"/>
    <col min="1639" max="1639" width="11.42578125" style="108" customWidth="1"/>
    <col min="1640" max="1784" width="33.28515625" style="108"/>
    <col min="1785" max="1785" width="9.140625" style="108" customWidth="1"/>
    <col min="1786" max="1786" width="14" style="108" customWidth="1"/>
    <col min="1787" max="1787" width="21.85546875" style="108" customWidth="1"/>
    <col min="1788" max="1788" width="15.5703125" style="108" customWidth="1"/>
    <col min="1789" max="1800" width="14" style="108" customWidth="1"/>
    <col min="1801" max="1801" width="15" style="108" customWidth="1"/>
    <col min="1802" max="1894" width="31.7109375" style="108" customWidth="1"/>
    <col min="1895" max="1895" width="11.42578125" style="108" customWidth="1"/>
    <col min="1896" max="2040" width="33.28515625" style="108"/>
    <col min="2041" max="2041" width="9.140625" style="108" customWidth="1"/>
    <col min="2042" max="2042" width="14" style="108" customWidth="1"/>
    <col min="2043" max="2043" width="21.85546875" style="108" customWidth="1"/>
    <col min="2044" max="2044" width="15.5703125" style="108" customWidth="1"/>
    <col min="2045" max="2056" width="14" style="108" customWidth="1"/>
    <col min="2057" max="2057" width="15" style="108" customWidth="1"/>
    <col min="2058" max="2150" width="31.7109375" style="108" customWidth="1"/>
    <col min="2151" max="2151" width="11.42578125" style="108" customWidth="1"/>
    <col min="2152" max="2296" width="33.28515625" style="108"/>
    <col min="2297" max="2297" width="9.140625" style="108" customWidth="1"/>
    <col min="2298" max="2298" width="14" style="108" customWidth="1"/>
    <col min="2299" max="2299" width="21.85546875" style="108" customWidth="1"/>
    <col min="2300" max="2300" width="15.5703125" style="108" customWidth="1"/>
    <col min="2301" max="2312" width="14" style="108" customWidth="1"/>
    <col min="2313" max="2313" width="15" style="108" customWidth="1"/>
    <col min="2314" max="2406" width="31.7109375" style="108" customWidth="1"/>
    <col min="2407" max="2407" width="11.42578125" style="108" customWidth="1"/>
    <col min="2408" max="2552" width="33.28515625" style="108"/>
    <col min="2553" max="2553" width="9.140625" style="108" customWidth="1"/>
    <col min="2554" max="2554" width="14" style="108" customWidth="1"/>
    <col min="2555" max="2555" width="21.85546875" style="108" customWidth="1"/>
    <col min="2556" max="2556" width="15.5703125" style="108" customWidth="1"/>
    <col min="2557" max="2568" width="14" style="108" customWidth="1"/>
    <col min="2569" max="2569" width="15" style="108" customWidth="1"/>
    <col min="2570" max="2662" width="31.7109375" style="108" customWidth="1"/>
    <col min="2663" max="2663" width="11.42578125" style="108" customWidth="1"/>
    <col min="2664" max="2808" width="33.28515625" style="108"/>
    <col min="2809" max="2809" width="9.140625" style="108" customWidth="1"/>
    <col min="2810" max="2810" width="14" style="108" customWidth="1"/>
    <col min="2811" max="2811" width="21.85546875" style="108" customWidth="1"/>
    <col min="2812" max="2812" width="15.5703125" style="108" customWidth="1"/>
    <col min="2813" max="2824" width="14" style="108" customWidth="1"/>
    <col min="2825" max="2825" width="15" style="108" customWidth="1"/>
    <col min="2826" max="2918" width="31.7109375" style="108" customWidth="1"/>
    <col min="2919" max="2919" width="11.42578125" style="108" customWidth="1"/>
    <col min="2920" max="3064" width="33.28515625" style="108"/>
    <col min="3065" max="3065" width="9.140625" style="108" customWidth="1"/>
    <col min="3066" max="3066" width="14" style="108" customWidth="1"/>
    <col min="3067" max="3067" width="21.85546875" style="108" customWidth="1"/>
    <col min="3068" max="3068" width="15.5703125" style="108" customWidth="1"/>
    <col min="3069" max="3080" width="14" style="108" customWidth="1"/>
    <col min="3081" max="3081" width="15" style="108" customWidth="1"/>
    <col min="3082" max="3174" width="31.7109375" style="108" customWidth="1"/>
    <col min="3175" max="3175" width="11.42578125" style="108" customWidth="1"/>
    <col min="3176" max="3320" width="33.28515625" style="108"/>
    <col min="3321" max="3321" width="9.140625" style="108" customWidth="1"/>
    <col min="3322" max="3322" width="14" style="108" customWidth="1"/>
    <col min="3323" max="3323" width="21.85546875" style="108" customWidth="1"/>
    <col min="3324" max="3324" width="15.5703125" style="108" customWidth="1"/>
    <col min="3325" max="3336" width="14" style="108" customWidth="1"/>
    <col min="3337" max="3337" width="15" style="108" customWidth="1"/>
    <col min="3338" max="3430" width="31.7109375" style="108" customWidth="1"/>
    <col min="3431" max="3431" width="11.42578125" style="108" customWidth="1"/>
    <col min="3432" max="3576" width="33.28515625" style="108"/>
    <col min="3577" max="3577" width="9.140625" style="108" customWidth="1"/>
    <col min="3578" max="3578" width="14" style="108" customWidth="1"/>
    <col min="3579" max="3579" width="21.85546875" style="108" customWidth="1"/>
    <col min="3580" max="3580" width="15.5703125" style="108" customWidth="1"/>
    <col min="3581" max="3592" width="14" style="108" customWidth="1"/>
    <col min="3593" max="3593" width="15" style="108" customWidth="1"/>
    <col min="3594" max="3686" width="31.7109375" style="108" customWidth="1"/>
    <col min="3687" max="3687" width="11.42578125" style="108" customWidth="1"/>
    <col min="3688" max="3832" width="33.28515625" style="108"/>
    <col min="3833" max="3833" width="9.140625" style="108" customWidth="1"/>
    <col min="3834" max="3834" width="14" style="108" customWidth="1"/>
    <col min="3835" max="3835" width="21.85546875" style="108" customWidth="1"/>
    <col min="3836" max="3836" width="15.5703125" style="108" customWidth="1"/>
    <col min="3837" max="3848" width="14" style="108" customWidth="1"/>
    <col min="3849" max="3849" width="15" style="108" customWidth="1"/>
    <col min="3850" max="3942" width="31.7109375" style="108" customWidth="1"/>
    <col min="3943" max="3943" width="11.42578125" style="108" customWidth="1"/>
    <col min="3944" max="4088" width="33.28515625" style="108"/>
    <col min="4089" max="4089" width="9.140625" style="108" customWidth="1"/>
    <col min="4090" max="4090" width="14" style="108" customWidth="1"/>
    <col min="4091" max="4091" width="21.85546875" style="108" customWidth="1"/>
    <col min="4092" max="4092" width="15.5703125" style="108" customWidth="1"/>
    <col min="4093" max="4104" width="14" style="108" customWidth="1"/>
    <col min="4105" max="4105" width="15" style="108" customWidth="1"/>
    <col min="4106" max="4198" width="31.7109375" style="108" customWidth="1"/>
    <col min="4199" max="4199" width="11.42578125" style="108" customWidth="1"/>
    <col min="4200" max="4344" width="33.28515625" style="108"/>
    <col min="4345" max="4345" width="9.140625" style="108" customWidth="1"/>
    <col min="4346" max="4346" width="14" style="108" customWidth="1"/>
    <col min="4347" max="4347" width="21.85546875" style="108" customWidth="1"/>
    <col min="4348" max="4348" width="15.5703125" style="108" customWidth="1"/>
    <col min="4349" max="4360" width="14" style="108" customWidth="1"/>
    <col min="4361" max="4361" width="15" style="108" customWidth="1"/>
    <col min="4362" max="4454" width="31.7109375" style="108" customWidth="1"/>
    <col min="4455" max="4455" width="11.42578125" style="108" customWidth="1"/>
    <col min="4456" max="4600" width="33.28515625" style="108"/>
    <col min="4601" max="4601" width="9.140625" style="108" customWidth="1"/>
    <col min="4602" max="4602" width="14" style="108" customWidth="1"/>
    <col min="4603" max="4603" width="21.85546875" style="108" customWidth="1"/>
    <col min="4604" max="4604" width="15.5703125" style="108" customWidth="1"/>
    <col min="4605" max="4616" width="14" style="108" customWidth="1"/>
    <col min="4617" max="4617" width="15" style="108" customWidth="1"/>
    <col min="4618" max="4710" width="31.7109375" style="108" customWidth="1"/>
    <col min="4711" max="4711" width="11.42578125" style="108" customWidth="1"/>
    <col min="4712" max="4856" width="33.28515625" style="108"/>
    <col min="4857" max="4857" width="9.140625" style="108" customWidth="1"/>
    <col min="4858" max="4858" width="14" style="108" customWidth="1"/>
    <col min="4859" max="4859" width="21.85546875" style="108" customWidth="1"/>
    <col min="4860" max="4860" width="15.5703125" style="108" customWidth="1"/>
    <col min="4861" max="4872" width="14" style="108" customWidth="1"/>
    <col min="4873" max="4873" width="15" style="108" customWidth="1"/>
    <col min="4874" max="4966" width="31.7109375" style="108" customWidth="1"/>
    <col min="4967" max="4967" width="11.42578125" style="108" customWidth="1"/>
    <col min="4968" max="5112" width="33.28515625" style="108"/>
    <col min="5113" max="5113" width="9.140625" style="108" customWidth="1"/>
    <col min="5114" max="5114" width="14" style="108" customWidth="1"/>
    <col min="5115" max="5115" width="21.85546875" style="108" customWidth="1"/>
    <col min="5116" max="5116" width="15.5703125" style="108" customWidth="1"/>
    <col min="5117" max="5128" width="14" style="108" customWidth="1"/>
    <col min="5129" max="5129" width="15" style="108" customWidth="1"/>
    <col min="5130" max="5222" width="31.7109375" style="108" customWidth="1"/>
    <col min="5223" max="5223" width="11.42578125" style="108" customWidth="1"/>
    <col min="5224" max="5368" width="33.28515625" style="108"/>
    <col min="5369" max="5369" width="9.140625" style="108" customWidth="1"/>
    <col min="5370" max="5370" width="14" style="108" customWidth="1"/>
    <col min="5371" max="5371" width="21.85546875" style="108" customWidth="1"/>
    <col min="5372" max="5372" width="15.5703125" style="108" customWidth="1"/>
    <col min="5373" max="5384" width="14" style="108" customWidth="1"/>
    <col min="5385" max="5385" width="15" style="108" customWidth="1"/>
    <col min="5386" max="5478" width="31.7109375" style="108" customWidth="1"/>
    <col min="5479" max="5479" width="11.42578125" style="108" customWidth="1"/>
    <col min="5480" max="5624" width="33.28515625" style="108"/>
    <col min="5625" max="5625" width="9.140625" style="108" customWidth="1"/>
    <col min="5626" max="5626" width="14" style="108" customWidth="1"/>
    <col min="5627" max="5627" width="21.85546875" style="108" customWidth="1"/>
    <col min="5628" max="5628" width="15.5703125" style="108" customWidth="1"/>
    <col min="5629" max="5640" width="14" style="108" customWidth="1"/>
    <col min="5641" max="5641" width="15" style="108" customWidth="1"/>
    <col min="5642" max="5734" width="31.7109375" style="108" customWidth="1"/>
    <col min="5735" max="5735" width="11.42578125" style="108" customWidth="1"/>
    <col min="5736" max="5880" width="33.28515625" style="108"/>
    <col min="5881" max="5881" width="9.140625" style="108" customWidth="1"/>
    <col min="5882" max="5882" width="14" style="108" customWidth="1"/>
    <col min="5883" max="5883" width="21.85546875" style="108" customWidth="1"/>
    <col min="5884" max="5884" width="15.5703125" style="108" customWidth="1"/>
    <col min="5885" max="5896" width="14" style="108" customWidth="1"/>
    <col min="5897" max="5897" width="15" style="108" customWidth="1"/>
    <col min="5898" max="5990" width="31.7109375" style="108" customWidth="1"/>
    <col min="5991" max="5991" width="11.42578125" style="108" customWidth="1"/>
    <col min="5992" max="6136" width="33.28515625" style="108"/>
    <col min="6137" max="6137" width="9.140625" style="108" customWidth="1"/>
    <col min="6138" max="6138" width="14" style="108" customWidth="1"/>
    <col min="6139" max="6139" width="21.85546875" style="108" customWidth="1"/>
    <col min="6140" max="6140" width="15.5703125" style="108" customWidth="1"/>
    <col min="6141" max="6152" width="14" style="108" customWidth="1"/>
    <col min="6153" max="6153" width="15" style="108" customWidth="1"/>
    <col min="6154" max="6246" width="31.7109375" style="108" customWidth="1"/>
    <col min="6247" max="6247" width="11.42578125" style="108" customWidth="1"/>
    <col min="6248" max="6392" width="33.28515625" style="108"/>
    <col min="6393" max="6393" width="9.140625" style="108" customWidth="1"/>
    <col min="6394" max="6394" width="14" style="108" customWidth="1"/>
    <col min="6395" max="6395" width="21.85546875" style="108" customWidth="1"/>
    <col min="6396" max="6396" width="15.5703125" style="108" customWidth="1"/>
    <col min="6397" max="6408" width="14" style="108" customWidth="1"/>
    <col min="6409" max="6409" width="15" style="108" customWidth="1"/>
    <col min="6410" max="6502" width="31.7109375" style="108" customWidth="1"/>
    <col min="6503" max="6503" width="11.42578125" style="108" customWidth="1"/>
    <col min="6504" max="6648" width="33.28515625" style="108"/>
    <col min="6649" max="6649" width="9.140625" style="108" customWidth="1"/>
    <col min="6650" max="6650" width="14" style="108" customWidth="1"/>
    <col min="6651" max="6651" width="21.85546875" style="108" customWidth="1"/>
    <col min="6652" max="6652" width="15.5703125" style="108" customWidth="1"/>
    <col min="6653" max="6664" width="14" style="108" customWidth="1"/>
    <col min="6665" max="6665" width="15" style="108" customWidth="1"/>
    <col min="6666" max="6758" width="31.7109375" style="108" customWidth="1"/>
    <col min="6759" max="6759" width="11.42578125" style="108" customWidth="1"/>
    <col min="6760" max="6904" width="33.28515625" style="108"/>
    <col min="6905" max="6905" width="9.140625" style="108" customWidth="1"/>
    <col min="6906" max="6906" width="14" style="108" customWidth="1"/>
    <col min="6907" max="6907" width="21.85546875" style="108" customWidth="1"/>
    <col min="6908" max="6908" width="15.5703125" style="108" customWidth="1"/>
    <col min="6909" max="6920" width="14" style="108" customWidth="1"/>
    <col min="6921" max="6921" width="15" style="108" customWidth="1"/>
    <col min="6922" max="7014" width="31.7109375" style="108" customWidth="1"/>
    <col min="7015" max="7015" width="11.42578125" style="108" customWidth="1"/>
    <col min="7016" max="7160" width="33.28515625" style="108"/>
    <col min="7161" max="7161" width="9.140625" style="108" customWidth="1"/>
    <col min="7162" max="7162" width="14" style="108" customWidth="1"/>
    <col min="7163" max="7163" width="21.85546875" style="108" customWidth="1"/>
    <col min="7164" max="7164" width="15.5703125" style="108" customWidth="1"/>
    <col min="7165" max="7176" width="14" style="108" customWidth="1"/>
    <col min="7177" max="7177" width="15" style="108" customWidth="1"/>
    <col min="7178" max="7270" width="31.7109375" style="108" customWidth="1"/>
    <col min="7271" max="7271" width="11.42578125" style="108" customWidth="1"/>
    <col min="7272" max="7416" width="33.28515625" style="108"/>
    <col min="7417" max="7417" width="9.140625" style="108" customWidth="1"/>
    <col min="7418" max="7418" width="14" style="108" customWidth="1"/>
    <col min="7419" max="7419" width="21.85546875" style="108" customWidth="1"/>
    <col min="7420" max="7420" width="15.5703125" style="108" customWidth="1"/>
    <col min="7421" max="7432" width="14" style="108" customWidth="1"/>
    <col min="7433" max="7433" width="15" style="108" customWidth="1"/>
    <col min="7434" max="7526" width="31.7109375" style="108" customWidth="1"/>
    <col min="7527" max="7527" width="11.42578125" style="108" customWidth="1"/>
    <col min="7528" max="7672" width="33.28515625" style="108"/>
    <col min="7673" max="7673" width="9.140625" style="108" customWidth="1"/>
    <col min="7674" max="7674" width="14" style="108" customWidth="1"/>
    <col min="7675" max="7675" width="21.85546875" style="108" customWidth="1"/>
    <col min="7676" max="7676" width="15.5703125" style="108" customWidth="1"/>
    <col min="7677" max="7688" width="14" style="108" customWidth="1"/>
    <col min="7689" max="7689" width="15" style="108" customWidth="1"/>
    <col min="7690" max="7782" width="31.7109375" style="108" customWidth="1"/>
    <col min="7783" max="7783" width="11.42578125" style="108" customWidth="1"/>
    <col min="7784" max="7928" width="33.28515625" style="108"/>
    <col min="7929" max="7929" width="9.140625" style="108" customWidth="1"/>
    <col min="7930" max="7930" width="14" style="108" customWidth="1"/>
    <col min="7931" max="7931" width="21.85546875" style="108" customWidth="1"/>
    <col min="7932" max="7932" width="15.5703125" style="108" customWidth="1"/>
    <col min="7933" max="7944" width="14" style="108" customWidth="1"/>
    <col min="7945" max="7945" width="15" style="108" customWidth="1"/>
    <col min="7946" max="8038" width="31.7109375" style="108" customWidth="1"/>
    <col min="8039" max="8039" width="11.42578125" style="108" customWidth="1"/>
    <col min="8040" max="8184" width="33.28515625" style="108"/>
    <col min="8185" max="8185" width="9.140625" style="108" customWidth="1"/>
    <col min="8186" max="8186" width="14" style="108" customWidth="1"/>
    <col min="8187" max="8187" width="21.85546875" style="108" customWidth="1"/>
    <col min="8188" max="8188" width="15.5703125" style="108" customWidth="1"/>
    <col min="8189" max="8200" width="14" style="108" customWidth="1"/>
    <col min="8201" max="8201" width="15" style="108" customWidth="1"/>
    <col min="8202" max="8294" width="31.7109375" style="108" customWidth="1"/>
    <col min="8295" max="8295" width="11.42578125" style="108" customWidth="1"/>
    <col min="8296" max="8440" width="33.28515625" style="108"/>
    <col min="8441" max="8441" width="9.140625" style="108" customWidth="1"/>
    <col min="8442" max="8442" width="14" style="108" customWidth="1"/>
    <col min="8443" max="8443" width="21.85546875" style="108" customWidth="1"/>
    <col min="8444" max="8444" width="15.5703125" style="108" customWidth="1"/>
    <col min="8445" max="8456" width="14" style="108" customWidth="1"/>
    <col min="8457" max="8457" width="15" style="108" customWidth="1"/>
    <col min="8458" max="8550" width="31.7109375" style="108" customWidth="1"/>
    <col min="8551" max="8551" width="11.42578125" style="108" customWidth="1"/>
    <col min="8552" max="8696" width="33.28515625" style="108"/>
    <col min="8697" max="8697" width="9.140625" style="108" customWidth="1"/>
    <col min="8698" max="8698" width="14" style="108" customWidth="1"/>
    <col min="8699" max="8699" width="21.85546875" style="108" customWidth="1"/>
    <col min="8700" max="8700" width="15.5703125" style="108" customWidth="1"/>
    <col min="8701" max="8712" width="14" style="108" customWidth="1"/>
    <col min="8713" max="8713" width="15" style="108" customWidth="1"/>
    <col min="8714" max="8806" width="31.7109375" style="108" customWidth="1"/>
    <col min="8807" max="8807" width="11.42578125" style="108" customWidth="1"/>
    <col min="8808" max="8952" width="33.28515625" style="108"/>
    <col min="8953" max="8953" width="9.140625" style="108" customWidth="1"/>
    <col min="8954" max="8954" width="14" style="108" customWidth="1"/>
    <col min="8955" max="8955" width="21.85546875" style="108" customWidth="1"/>
    <col min="8956" max="8956" width="15.5703125" style="108" customWidth="1"/>
    <col min="8957" max="8968" width="14" style="108" customWidth="1"/>
    <col min="8969" max="8969" width="15" style="108" customWidth="1"/>
    <col min="8970" max="9062" width="31.7109375" style="108" customWidth="1"/>
    <col min="9063" max="9063" width="11.42578125" style="108" customWidth="1"/>
    <col min="9064" max="9208" width="33.28515625" style="108"/>
    <col min="9209" max="9209" width="9.140625" style="108" customWidth="1"/>
    <col min="9210" max="9210" width="14" style="108" customWidth="1"/>
    <col min="9211" max="9211" width="21.85546875" style="108" customWidth="1"/>
    <col min="9212" max="9212" width="15.5703125" style="108" customWidth="1"/>
    <col min="9213" max="9224" width="14" style="108" customWidth="1"/>
    <col min="9225" max="9225" width="15" style="108" customWidth="1"/>
    <col min="9226" max="9318" width="31.7109375" style="108" customWidth="1"/>
    <col min="9319" max="9319" width="11.42578125" style="108" customWidth="1"/>
    <col min="9320" max="9464" width="33.28515625" style="108"/>
    <col min="9465" max="9465" width="9.140625" style="108" customWidth="1"/>
    <col min="9466" max="9466" width="14" style="108" customWidth="1"/>
    <col min="9467" max="9467" width="21.85546875" style="108" customWidth="1"/>
    <col min="9468" max="9468" width="15.5703125" style="108" customWidth="1"/>
    <col min="9469" max="9480" width="14" style="108" customWidth="1"/>
    <col min="9481" max="9481" width="15" style="108" customWidth="1"/>
    <col min="9482" max="9574" width="31.7109375" style="108" customWidth="1"/>
    <col min="9575" max="9575" width="11.42578125" style="108" customWidth="1"/>
    <col min="9576" max="9720" width="33.28515625" style="108"/>
    <col min="9721" max="9721" width="9.140625" style="108" customWidth="1"/>
    <col min="9722" max="9722" width="14" style="108" customWidth="1"/>
    <col min="9723" max="9723" width="21.85546875" style="108" customWidth="1"/>
    <col min="9724" max="9724" width="15.5703125" style="108" customWidth="1"/>
    <col min="9725" max="9736" width="14" style="108" customWidth="1"/>
    <col min="9737" max="9737" width="15" style="108" customWidth="1"/>
    <col min="9738" max="9830" width="31.7109375" style="108" customWidth="1"/>
    <col min="9831" max="9831" width="11.42578125" style="108" customWidth="1"/>
    <col min="9832" max="9976" width="33.28515625" style="108"/>
    <col min="9977" max="9977" width="9.140625" style="108" customWidth="1"/>
    <col min="9978" max="9978" width="14" style="108" customWidth="1"/>
    <col min="9979" max="9979" width="21.85546875" style="108" customWidth="1"/>
    <col min="9980" max="9980" width="15.5703125" style="108" customWidth="1"/>
    <col min="9981" max="9992" width="14" style="108" customWidth="1"/>
    <col min="9993" max="9993" width="15" style="108" customWidth="1"/>
    <col min="9994" max="10086" width="31.7109375" style="108" customWidth="1"/>
    <col min="10087" max="10087" width="11.42578125" style="108" customWidth="1"/>
    <col min="10088" max="10232" width="33.28515625" style="108"/>
    <col min="10233" max="10233" width="9.140625" style="108" customWidth="1"/>
    <col min="10234" max="10234" width="14" style="108" customWidth="1"/>
    <col min="10235" max="10235" width="21.85546875" style="108" customWidth="1"/>
    <col min="10236" max="10236" width="15.5703125" style="108" customWidth="1"/>
    <col min="10237" max="10248" width="14" style="108" customWidth="1"/>
    <col min="10249" max="10249" width="15" style="108" customWidth="1"/>
    <col min="10250" max="10342" width="31.7109375" style="108" customWidth="1"/>
    <col min="10343" max="10343" width="11.42578125" style="108" customWidth="1"/>
    <col min="10344" max="10488" width="33.28515625" style="108"/>
    <col min="10489" max="10489" width="9.140625" style="108" customWidth="1"/>
    <col min="10490" max="10490" width="14" style="108" customWidth="1"/>
    <col min="10491" max="10491" width="21.85546875" style="108" customWidth="1"/>
    <col min="10492" max="10492" width="15.5703125" style="108" customWidth="1"/>
    <col min="10493" max="10504" width="14" style="108" customWidth="1"/>
    <col min="10505" max="10505" width="15" style="108" customWidth="1"/>
    <col min="10506" max="10598" width="31.7109375" style="108" customWidth="1"/>
    <col min="10599" max="10599" width="11.42578125" style="108" customWidth="1"/>
    <col min="10600" max="10744" width="33.28515625" style="108"/>
    <col min="10745" max="10745" width="9.140625" style="108" customWidth="1"/>
    <col min="10746" max="10746" width="14" style="108" customWidth="1"/>
    <col min="10747" max="10747" width="21.85546875" style="108" customWidth="1"/>
    <col min="10748" max="10748" width="15.5703125" style="108" customWidth="1"/>
    <col min="10749" max="10760" width="14" style="108" customWidth="1"/>
    <col min="10761" max="10761" width="15" style="108" customWidth="1"/>
    <col min="10762" max="10854" width="31.7109375" style="108" customWidth="1"/>
    <col min="10855" max="10855" width="11.42578125" style="108" customWidth="1"/>
    <col min="10856" max="11000" width="33.28515625" style="108"/>
    <col min="11001" max="11001" width="9.140625" style="108" customWidth="1"/>
    <col min="11002" max="11002" width="14" style="108" customWidth="1"/>
    <col min="11003" max="11003" width="21.85546875" style="108" customWidth="1"/>
    <col min="11004" max="11004" width="15.5703125" style="108" customWidth="1"/>
    <col min="11005" max="11016" width="14" style="108" customWidth="1"/>
    <col min="11017" max="11017" width="15" style="108" customWidth="1"/>
    <col min="11018" max="11110" width="31.7109375" style="108" customWidth="1"/>
    <col min="11111" max="11111" width="11.42578125" style="108" customWidth="1"/>
    <col min="11112" max="11256" width="33.28515625" style="108"/>
    <col min="11257" max="11257" width="9.140625" style="108" customWidth="1"/>
    <col min="11258" max="11258" width="14" style="108" customWidth="1"/>
    <col min="11259" max="11259" width="21.85546875" style="108" customWidth="1"/>
    <col min="11260" max="11260" width="15.5703125" style="108" customWidth="1"/>
    <col min="11261" max="11272" width="14" style="108" customWidth="1"/>
    <col min="11273" max="11273" width="15" style="108" customWidth="1"/>
    <col min="11274" max="11366" width="31.7109375" style="108" customWidth="1"/>
    <col min="11367" max="11367" width="11.42578125" style="108" customWidth="1"/>
    <col min="11368" max="11512" width="33.28515625" style="108"/>
    <col min="11513" max="11513" width="9.140625" style="108" customWidth="1"/>
    <col min="11514" max="11514" width="14" style="108" customWidth="1"/>
    <col min="11515" max="11515" width="21.85546875" style="108" customWidth="1"/>
    <col min="11516" max="11516" width="15.5703125" style="108" customWidth="1"/>
    <col min="11517" max="11528" width="14" style="108" customWidth="1"/>
    <col min="11529" max="11529" width="15" style="108" customWidth="1"/>
    <col min="11530" max="11622" width="31.7109375" style="108" customWidth="1"/>
    <col min="11623" max="11623" width="11.42578125" style="108" customWidth="1"/>
    <col min="11624" max="11768" width="33.28515625" style="108"/>
    <col min="11769" max="11769" width="9.140625" style="108" customWidth="1"/>
    <col min="11770" max="11770" width="14" style="108" customWidth="1"/>
    <col min="11771" max="11771" width="21.85546875" style="108" customWidth="1"/>
    <col min="11772" max="11772" width="15.5703125" style="108" customWidth="1"/>
    <col min="11773" max="11784" width="14" style="108" customWidth="1"/>
    <col min="11785" max="11785" width="15" style="108" customWidth="1"/>
    <col min="11786" max="11878" width="31.7109375" style="108" customWidth="1"/>
    <col min="11879" max="11879" width="11.42578125" style="108" customWidth="1"/>
    <col min="11880" max="12024" width="33.28515625" style="108"/>
    <col min="12025" max="12025" width="9.140625" style="108" customWidth="1"/>
    <col min="12026" max="12026" width="14" style="108" customWidth="1"/>
    <col min="12027" max="12027" width="21.85546875" style="108" customWidth="1"/>
    <col min="12028" max="12028" width="15.5703125" style="108" customWidth="1"/>
    <col min="12029" max="12040" width="14" style="108" customWidth="1"/>
    <col min="12041" max="12041" width="15" style="108" customWidth="1"/>
    <col min="12042" max="12134" width="31.7109375" style="108" customWidth="1"/>
    <col min="12135" max="12135" width="11.42578125" style="108" customWidth="1"/>
    <col min="12136" max="12280" width="33.28515625" style="108"/>
    <col min="12281" max="12281" width="9.140625" style="108" customWidth="1"/>
    <col min="12282" max="12282" width="14" style="108" customWidth="1"/>
    <col min="12283" max="12283" width="21.85546875" style="108" customWidth="1"/>
    <col min="12284" max="12284" width="15.5703125" style="108" customWidth="1"/>
    <col min="12285" max="12296" width="14" style="108" customWidth="1"/>
    <col min="12297" max="12297" width="15" style="108" customWidth="1"/>
    <col min="12298" max="12390" width="31.7109375" style="108" customWidth="1"/>
    <col min="12391" max="12391" width="11.42578125" style="108" customWidth="1"/>
    <col min="12392" max="12536" width="33.28515625" style="108"/>
    <col min="12537" max="12537" width="9.140625" style="108" customWidth="1"/>
    <col min="12538" max="12538" width="14" style="108" customWidth="1"/>
    <col min="12539" max="12539" width="21.85546875" style="108" customWidth="1"/>
    <col min="12540" max="12540" width="15.5703125" style="108" customWidth="1"/>
    <col min="12541" max="12552" width="14" style="108" customWidth="1"/>
    <col min="12553" max="12553" width="15" style="108" customWidth="1"/>
    <col min="12554" max="12646" width="31.7109375" style="108" customWidth="1"/>
    <col min="12647" max="12647" width="11.42578125" style="108" customWidth="1"/>
    <col min="12648" max="12792" width="33.28515625" style="108"/>
    <col min="12793" max="12793" width="9.140625" style="108" customWidth="1"/>
    <col min="12794" max="12794" width="14" style="108" customWidth="1"/>
    <col min="12795" max="12795" width="21.85546875" style="108" customWidth="1"/>
    <col min="12796" max="12796" width="15.5703125" style="108" customWidth="1"/>
    <col min="12797" max="12808" width="14" style="108" customWidth="1"/>
    <col min="12809" max="12809" width="15" style="108" customWidth="1"/>
    <col min="12810" max="12902" width="31.7109375" style="108" customWidth="1"/>
    <col min="12903" max="12903" width="11.42578125" style="108" customWidth="1"/>
    <col min="12904" max="13048" width="33.28515625" style="108"/>
    <col min="13049" max="13049" width="9.140625" style="108" customWidth="1"/>
    <col min="13050" max="13050" width="14" style="108" customWidth="1"/>
    <col min="13051" max="13051" width="21.85546875" style="108" customWidth="1"/>
    <col min="13052" max="13052" width="15.5703125" style="108" customWidth="1"/>
    <col min="13053" max="13064" width="14" style="108" customWidth="1"/>
    <col min="13065" max="13065" width="15" style="108" customWidth="1"/>
    <col min="13066" max="13158" width="31.7109375" style="108" customWidth="1"/>
    <col min="13159" max="13159" width="11.42578125" style="108" customWidth="1"/>
    <col min="13160" max="13304" width="33.28515625" style="108"/>
    <col min="13305" max="13305" width="9.140625" style="108" customWidth="1"/>
    <col min="13306" max="13306" width="14" style="108" customWidth="1"/>
    <col min="13307" max="13307" width="21.85546875" style="108" customWidth="1"/>
    <col min="13308" max="13308" width="15.5703125" style="108" customWidth="1"/>
    <col min="13309" max="13320" width="14" style="108" customWidth="1"/>
    <col min="13321" max="13321" width="15" style="108" customWidth="1"/>
    <col min="13322" max="13414" width="31.7109375" style="108" customWidth="1"/>
    <col min="13415" max="13415" width="11.42578125" style="108" customWidth="1"/>
    <col min="13416" max="13560" width="33.28515625" style="108"/>
    <col min="13561" max="13561" width="9.140625" style="108" customWidth="1"/>
    <col min="13562" max="13562" width="14" style="108" customWidth="1"/>
    <col min="13563" max="13563" width="21.85546875" style="108" customWidth="1"/>
    <col min="13564" max="13564" width="15.5703125" style="108" customWidth="1"/>
    <col min="13565" max="13576" width="14" style="108" customWidth="1"/>
    <col min="13577" max="13577" width="15" style="108" customWidth="1"/>
    <col min="13578" max="13670" width="31.7109375" style="108" customWidth="1"/>
    <col min="13671" max="13671" width="11.42578125" style="108" customWidth="1"/>
    <col min="13672" max="13816" width="33.28515625" style="108"/>
    <col min="13817" max="13817" width="9.140625" style="108" customWidth="1"/>
    <col min="13818" max="13818" width="14" style="108" customWidth="1"/>
    <col min="13819" max="13819" width="21.85546875" style="108" customWidth="1"/>
    <col min="13820" max="13820" width="15.5703125" style="108" customWidth="1"/>
    <col min="13821" max="13832" width="14" style="108" customWidth="1"/>
    <col min="13833" max="13833" width="15" style="108" customWidth="1"/>
    <col min="13834" max="13926" width="31.7109375" style="108" customWidth="1"/>
    <col min="13927" max="13927" width="11.42578125" style="108" customWidth="1"/>
    <col min="13928" max="14072" width="33.28515625" style="108"/>
    <col min="14073" max="14073" width="9.140625" style="108" customWidth="1"/>
    <col min="14074" max="14074" width="14" style="108" customWidth="1"/>
    <col min="14075" max="14075" width="21.85546875" style="108" customWidth="1"/>
    <col min="14076" max="14076" width="15.5703125" style="108" customWidth="1"/>
    <col min="14077" max="14088" width="14" style="108" customWidth="1"/>
    <col min="14089" max="14089" width="15" style="108" customWidth="1"/>
    <col min="14090" max="14182" width="31.7109375" style="108" customWidth="1"/>
    <col min="14183" max="14183" width="11.42578125" style="108" customWidth="1"/>
    <col min="14184" max="14328" width="33.28515625" style="108"/>
    <col min="14329" max="14329" width="9.140625" style="108" customWidth="1"/>
    <col min="14330" max="14330" width="14" style="108" customWidth="1"/>
    <col min="14331" max="14331" width="21.85546875" style="108" customWidth="1"/>
    <col min="14332" max="14332" width="15.5703125" style="108" customWidth="1"/>
    <col min="14333" max="14344" width="14" style="108" customWidth="1"/>
    <col min="14345" max="14345" width="15" style="108" customWidth="1"/>
    <col min="14346" max="14438" width="31.7109375" style="108" customWidth="1"/>
    <col min="14439" max="14439" width="11.42578125" style="108" customWidth="1"/>
    <col min="14440" max="14584" width="33.28515625" style="108"/>
    <col min="14585" max="14585" width="9.140625" style="108" customWidth="1"/>
    <col min="14586" max="14586" width="14" style="108" customWidth="1"/>
    <col min="14587" max="14587" width="21.85546875" style="108" customWidth="1"/>
    <col min="14588" max="14588" width="15.5703125" style="108" customWidth="1"/>
    <col min="14589" max="14600" width="14" style="108" customWidth="1"/>
    <col min="14601" max="14601" width="15" style="108" customWidth="1"/>
    <col min="14602" max="14694" width="31.7109375" style="108" customWidth="1"/>
    <col min="14695" max="14695" width="11.42578125" style="108" customWidth="1"/>
    <col min="14696" max="14840" width="33.28515625" style="108"/>
    <col min="14841" max="14841" width="9.140625" style="108" customWidth="1"/>
    <col min="14842" max="14842" width="14" style="108" customWidth="1"/>
    <col min="14843" max="14843" width="21.85546875" style="108" customWidth="1"/>
    <col min="14844" max="14844" width="15.5703125" style="108" customWidth="1"/>
    <col min="14845" max="14856" width="14" style="108" customWidth="1"/>
    <col min="14857" max="14857" width="15" style="108" customWidth="1"/>
    <col min="14858" max="14950" width="31.7109375" style="108" customWidth="1"/>
    <col min="14951" max="14951" width="11.42578125" style="108" customWidth="1"/>
    <col min="14952" max="15096" width="33.28515625" style="108"/>
    <col min="15097" max="15097" width="9.140625" style="108" customWidth="1"/>
    <col min="15098" max="15098" width="14" style="108" customWidth="1"/>
    <col min="15099" max="15099" width="21.85546875" style="108" customWidth="1"/>
    <col min="15100" max="15100" width="15.5703125" style="108" customWidth="1"/>
    <col min="15101" max="15112" width="14" style="108" customWidth="1"/>
    <col min="15113" max="15113" width="15" style="108" customWidth="1"/>
    <col min="15114" max="15206" width="31.7109375" style="108" customWidth="1"/>
    <col min="15207" max="15207" width="11.42578125" style="108" customWidth="1"/>
    <col min="15208" max="15352" width="33.28515625" style="108"/>
    <col min="15353" max="15353" width="9.140625" style="108" customWidth="1"/>
    <col min="15354" max="15354" width="14" style="108" customWidth="1"/>
    <col min="15355" max="15355" width="21.85546875" style="108" customWidth="1"/>
    <col min="15356" max="15356" width="15.5703125" style="108" customWidth="1"/>
    <col min="15357" max="15368" width="14" style="108" customWidth="1"/>
    <col min="15369" max="15369" width="15" style="108" customWidth="1"/>
    <col min="15370" max="15462" width="31.7109375" style="108" customWidth="1"/>
    <col min="15463" max="15463" width="11.42578125" style="108" customWidth="1"/>
    <col min="15464" max="15608" width="33.28515625" style="108"/>
    <col min="15609" max="15609" width="9.140625" style="108" customWidth="1"/>
    <col min="15610" max="15610" width="14" style="108" customWidth="1"/>
    <col min="15611" max="15611" width="21.85546875" style="108" customWidth="1"/>
    <col min="15612" max="15612" width="15.5703125" style="108" customWidth="1"/>
    <col min="15613" max="15624" width="14" style="108" customWidth="1"/>
    <col min="15625" max="15625" width="15" style="108" customWidth="1"/>
    <col min="15626" max="15718" width="31.7109375" style="108" customWidth="1"/>
    <col min="15719" max="15719" width="11.42578125" style="108" customWidth="1"/>
    <col min="15720" max="15864" width="33.28515625" style="108"/>
    <col min="15865" max="15865" width="9.140625" style="108" customWidth="1"/>
    <col min="15866" max="15866" width="14" style="108" customWidth="1"/>
    <col min="15867" max="15867" width="21.85546875" style="108" customWidth="1"/>
    <col min="15868" max="15868" width="15.5703125" style="108" customWidth="1"/>
    <col min="15869" max="15880" width="14" style="108" customWidth="1"/>
    <col min="15881" max="15881" width="15" style="108" customWidth="1"/>
    <col min="15882" max="15974" width="31.7109375" style="108" customWidth="1"/>
    <col min="15975" max="15975" width="11.42578125" style="108" customWidth="1"/>
    <col min="15976" max="16120" width="33.28515625" style="108"/>
    <col min="16121" max="16121" width="9.140625" style="108" customWidth="1"/>
    <col min="16122" max="16122" width="14" style="108" customWidth="1"/>
    <col min="16123" max="16123" width="21.85546875" style="108" customWidth="1"/>
    <col min="16124" max="16124" width="15.5703125" style="108" customWidth="1"/>
    <col min="16125" max="16136" width="14" style="108" customWidth="1"/>
    <col min="16137" max="16137" width="15" style="108" customWidth="1"/>
    <col min="16138" max="16230" width="31.7109375" style="108" customWidth="1"/>
    <col min="16231" max="16231" width="11.42578125" style="108" customWidth="1"/>
    <col min="16232" max="16384" width="33.28515625" style="108"/>
  </cols>
  <sheetData>
    <row r="1" spans="1:11">
      <c r="B1" s="470" t="s">
        <v>573</v>
      </c>
      <c r="C1" s="470"/>
      <c r="D1" s="470"/>
    </row>
    <row r="2" spans="1:11">
      <c r="B2" s="470" t="s">
        <v>574</v>
      </c>
      <c r="C2" s="470"/>
      <c r="D2" s="470"/>
    </row>
    <row r="3" spans="1:11">
      <c r="B3" s="470"/>
      <c r="C3" s="470"/>
      <c r="D3" s="470"/>
    </row>
    <row r="4" spans="1:11" ht="15">
      <c r="B4" s="318"/>
      <c r="C4" s="318"/>
      <c r="D4" s="318"/>
      <c r="F4" s="318"/>
      <c r="G4" s="443"/>
      <c r="H4" s="443"/>
      <c r="I4" s="443"/>
      <c r="J4" s="443"/>
      <c r="K4" s="443"/>
    </row>
    <row r="5" spans="1:11" ht="21" customHeight="1" thickBot="1">
      <c r="B5" s="445" t="s">
        <v>550</v>
      </c>
      <c r="C5" s="445" t="s">
        <v>551</v>
      </c>
      <c r="D5" s="446" t="s">
        <v>552</v>
      </c>
      <c r="F5" s="318"/>
      <c r="G5" s="443"/>
      <c r="H5" s="443"/>
      <c r="I5" s="443"/>
      <c r="J5" s="443"/>
      <c r="K5" s="443"/>
    </row>
    <row r="6" spans="1:11" ht="53.25" customHeight="1">
      <c r="B6" s="447" t="s">
        <v>553</v>
      </c>
      <c r="C6" s="448" t="s">
        <v>575</v>
      </c>
      <c r="D6" s="449" t="s">
        <v>576</v>
      </c>
      <c r="F6" s="318"/>
      <c r="G6" s="443"/>
      <c r="H6" s="443"/>
      <c r="I6" s="443"/>
      <c r="J6" s="443"/>
      <c r="K6" s="443"/>
    </row>
    <row r="7" spans="1:11" ht="15">
      <c r="A7" s="450"/>
      <c r="B7" s="451" t="s">
        <v>554</v>
      </c>
      <c r="C7" s="462">
        <v>8.7848844581874211E-2</v>
      </c>
      <c r="D7" s="452">
        <f>C7*$D$25</f>
        <v>1361480.4878308028</v>
      </c>
      <c r="F7" s="318"/>
      <c r="G7" s="443"/>
      <c r="H7" s="443"/>
      <c r="I7" s="443"/>
      <c r="J7" s="443"/>
      <c r="K7" s="443"/>
    </row>
    <row r="8" spans="1:11" ht="15">
      <c r="A8" s="450"/>
      <c r="B8" s="453" t="s">
        <v>555</v>
      </c>
      <c r="C8" s="462">
        <v>4.7289717802900975E-3</v>
      </c>
      <c r="D8" s="452">
        <f t="shared" ref="D8:D19" si="0">C8*$D$25</f>
        <v>73289.555907214439</v>
      </c>
      <c r="F8" s="318"/>
      <c r="G8" s="443"/>
      <c r="H8" s="443"/>
      <c r="I8" s="443"/>
      <c r="J8" s="443"/>
      <c r="K8" s="443"/>
    </row>
    <row r="9" spans="1:11" ht="15">
      <c r="A9" s="450"/>
      <c r="B9" s="453" t="s">
        <v>556</v>
      </c>
      <c r="C9" s="462">
        <v>1.4514665860296341E-2</v>
      </c>
      <c r="D9" s="452">
        <f t="shared" si="0"/>
        <v>224948.14189343047</v>
      </c>
      <c r="F9" s="318"/>
      <c r="G9" s="443"/>
      <c r="H9" s="443"/>
      <c r="I9" s="443"/>
      <c r="J9" s="443"/>
      <c r="K9" s="443"/>
    </row>
    <row r="10" spans="1:11" ht="15">
      <c r="A10" s="450"/>
      <c r="B10" s="451" t="s">
        <v>557</v>
      </c>
      <c r="C10" s="462">
        <v>1.1658554191012221E-2</v>
      </c>
      <c r="D10" s="452">
        <f t="shared" si="0"/>
        <v>180684.15268214254</v>
      </c>
      <c r="F10" s="318"/>
      <c r="G10" s="443"/>
      <c r="H10" s="443"/>
      <c r="I10" s="443"/>
      <c r="J10" s="443"/>
      <c r="K10" s="443"/>
    </row>
    <row r="11" spans="1:11" ht="15">
      <c r="A11" s="450"/>
      <c r="B11" s="453" t="s">
        <v>558</v>
      </c>
      <c r="C11" s="462">
        <v>9.7728181667430761E-2</v>
      </c>
      <c r="D11" s="452">
        <f t="shared" si="0"/>
        <v>1514590.3521518153</v>
      </c>
      <c r="F11" s="444"/>
      <c r="G11" s="443"/>
      <c r="H11" s="443"/>
      <c r="I11" s="443"/>
      <c r="J11" s="443"/>
      <c r="K11" s="443"/>
    </row>
    <row r="12" spans="1:11" ht="15">
      <c r="A12" s="450"/>
      <c r="B12" s="451" t="s">
        <v>559</v>
      </c>
      <c r="C12" s="462">
        <v>1.1354214422973749E-3</v>
      </c>
      <c r="D12" s="452">
        <f t="shared" si="0"/>
        <v>17596.749809405446</v>
      </c>
      <c r="E12" s="454"/>
      <c r="F12" s="454"/>
      <c r="G12" s="454"/>
      <c r="H12" s="454"/>
      <c r="I12" s="443"/>
      <c r="J12" s="443"/>
      <c r="K12" s="443"/>
    </row>
    <row r="13" spans="1:11" ht="15">
      <c r="A13" s="450"/>
      <c r="B13" s="451" t="s">
        <v>560</v>
      </c>
      <c r="C13" s="462">
        <v>5.6654018357930871E-3</v>
      </c>
      <c r="D13" s="452">
        <f t="shared" si="0"/>
        <v>87802.339255177692</v>
      </c>
      <c r="E13" s="454"/>
      <c r="F13" s="454"/>
      <c r="G13" s="454"/>
      <c r="H13" s="454"/>
      <c r="I13" s="443"/>
      <c r="J13" s="443"/>
      <c r="K13" s="443"/>
    </row>
    <row r="14" spans="1:11" ht="15">
      <c r="A14" s="450"/>
      <c r="B14" s="451" t="s">
        <v>561</v>
      </c>
      <c r="C14" s="462">
        <v>3.1604514373225905E-4</v>
      </c>
      <c r="D14" s="452">
        <f t="shared" si="0"/>
        <v>4898.0643799375994</v>
      </c>
      <c r="F14" s="318"/>
      <c r="G14" s="443"/>
      <c r="H14" s="443"/>
      <c r="I14" s="443"/>
      <c r="J14" s="443"/>
      <c r="K14" s="443"/>
    </row>
    <row r="15" spans="1:11" ht="15">
      <c r="A15" s="450"/>
      <c r="B15" s="453" t="s">
        <v>562</v>
      </c>
      <c r="C15" s="462">
        <v>3.2775051942604641E-3</v>
      </c>
      <c r="D15" s="452">
        <f t="shared" si="0"/>
        <v>50794.741717871395</v>
      </c>
      <c r="F15" s="318"/>
      <c r="G15" s="443"/>
      <c r="H15" s="443"/>
      <c r="I15" s="443"/>
      <c r="J15" s="443"/>
      <c r="K15" s="443"/>
    </row>
    <row r="16" spans="1:11" ht="15">
      <c r="A16" s="450"/>
      <c r="B16" s="453" t="s">
        <v>563</v>
      </c>
      <c r="C16" s="462">
        <v>2.1303783762693018E-3</v>
      </c>
      <c r="D16" s="452">
        <f t="shared" si="0"/>
        <v>33016.58211661641</v>
      </c>
    </row>
    <row r="17" spans="1:5" ht="15">
      <c r="A17" s="450"/>
      <c r="B17" s="451" t="s">
        <v>564</v>
      </c>
      <c r="C17" s="462">
        <v>1.2793975633309597E-2</v>
      </c>
      <c r="D17" s="452">
        <f t="shared" si="0"/>
        <v>198280.90249154798</v>
      </c>
    </row>
    <row r="18" spans="1:5" ht="15">
      <c r="A18" s="450"/>
      <c r="B18" s="451" t="s">
        <v>565</v>
      </c>
      <c r="C18" s="462">
        <v>1.2758859506228236E-3</v>
      </c>
      <c r="D18" s="452">
        <f t="shared" si="0"/>
        <v>19773.667311599937</v>
      </c>
    </row>
    <row r="19" spans="1:5" ht="15">
      <c r="A19" s="450"/>
      <c r="B19" s="455" t="s">
        <v>566</v>
      </c>
      <c r="C19" s="462">
        <v>4.3075782553137522E-3</v>
      </c>
      <c r="D19" s="452">
        <f t="shared" si="0"/>
        <v>66758.803400630975</v>
      </c>
    </row>
    <row r="20" spans="1:5" ht="24">
      <c r="B20" s="456" t="s">
        <v>567</v>
      </c>
      <c r="C20" s="463">
        <f t="shared" ref="C20:D20" si="1">SUM(C7:C19)</f>
        <v>0.24738140991250229</v>
      </c>
      <c r="D20" s="466">
        <f t="shared" si="1"/>
        <v>3833914.5409481931</v>
      </c>
    </row>
    <row r="21" spans="1:5" ht="15">
      <c r="B21" s="467" t="s">
        <v>568</v>
      </c>
      <c r="C21" s="462">
        <v>0.37328443087487928</v>
      </c>
      <c r="D21" s="452">
        <f t="shared" ref="D21:D23" si="2">C21*$D$25</f>
        <v>5785158.2620818531</v>
      </c>
    </row>
    <row r="22" spans="1:5" ht="15">
      <c r="B22" s="468" t="s">
        <v>569</v>
      </c>
      <c r="C22" s="462">
        <v>0.36399036257401207</v>
      </c>
      <c r="D22" s="452">
        <f t="shared" si="2"/>
        <v>5641118.8873533169</v>
      </c>
    </row>
    <row r="23" spans="1:5" ht="15">
      <c r="B23" s="455" t="s">
        <v>570</v>
      </c>
      <c r="C23" s="462">
        <v>1.5345747534555242E-2</v>
      </c>
      <c r="D23" s="452">
        <f t="shared" si="2"/>
        <v>237828.23711474784</v>
      </c>
    </row>
    <row r="24" spans="1:5" ht="24">
      <c r="B24" s="457" t="s">
        <v>571</v>
      </c>
      <c r="C24" s="464">
        <f t="shared" ref="C24:D24" si="3">SUM(C21:C23)</f>
        <v>0.75262054098344655</v>
      </c>
      <c r="D24" s="469">
        <f t="shared" si="3"/>
        <v>11664105.386549918</v>
      </c>
      <c r="E24" s="458"/>
    </row>
    <row r="25" spans="1:5" ht="23.25" customHeight="1" thickBot="1">
      <c r="B25" s="459" t="s">
        <v>572</v>
      </c>
      <c r="C25" s="465">
        <f t="shared" ref="C25" si="4">SUM(C20,C24)</f>
        <v>1.0000019508959488</v>
      </c>
      <c r="D25" s="460">
        <f>'Refund Calculation'!E15</f>
        <v>15497989.692532804</v>
      </c>
      <c r="E25" s="458"/>
    </row>
    <row r="26" spans="1:5">
      <c r="D26" s="318"/>
    </row>
    <row r="27" spans="1:5">
      <c r="B27" s="461"/>
    </row>
    <row r="28" spans="1:5">
      <c r="B28" s="461"/>
    </row>
    <row r="29" spans="1:5">
      <c r="B29" s="461"/>
    </row>
  </sheetData>
  <mergeCells count="3">
    <mergeCell ref="B1:D1"/>
    <mergeCell ref="B2:D2"/>
    <mergeCell ref="B3:D3"/>
  </mergeCells>
  <printOptions horizontalCentered="1"/>
  <pageMargins left="0.5" right="0.75" top="0.9" bottom="0.53" header="0.5" footer="0.5"/>
  <pageSetup orientation="portrait" horizontalDpi="1200" verticalDpi="1200" r:id="rId1"/>
  <headerFooter alignWithMargins="0">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1218"/>
  <sheetViews>
    <sheetView zoomScale="70" zoomScaleNormal="70" zoomScaleSheetLayoutView="75" workbookViewId="0">
      <selection activeCell="P5" sqref="P5"/>
    </sheetView>
  </sheetViews>
  <sheetFormatPr defaultColWidth="11.42578125" defaultRowHeight="15"/>
  <cols>
    <col min="1" max="1" width="4.5703125" style="104" customWidth="1"/>
    <col min="2" max="2" width="7.85546875" style="106" customWidth="1"/>
    <col min="3" max="3" width="1.85546875" style="104" customWidth="1"/>
    <col min="4" max="4" width="56" style="104" customWidth="1"/>
    <col min="5" max="5" width="37.42578125" style="104" customWidth="1"/>
    <col min="6" max="6" width="26.140625" style="104" customWidth="1"/>
    <col min="7" max="7" width="20.5703125" style="104" customWidth="1"/>
    <col min="8" max="8" width="18.85546875" style="104" customWidth="1"/>
    <col min="9" max="9" width="9.85546875" style="104" customWidth="1"/>
    <col min="10" max="10" width="21.85546875" style="104" bestFit="1" customWidth="1"/>
    <col min="11" max="11" width="4.5703125" style="104" customWidth="1"/>
    <col min="12" max="12" width="21.140625" style="104" customWidth="1"/>
    <col min="13" max="13" width="19.42578125" style="105" customWidth="1"/>
    <col min="14" max="14" width="28.85546875" style="104" bestFit="1" customWidth="1"/>
    <col min="15" max="15" width="3.140625" style="104" customWidth="1"/>
    <col min="16" max="16" width="21.85546875" style="104" customWidth="1"/>
    <col min="17" max="17" width="11.42578125" style="104" customWidth="1"/>
    <col min="18" max="18" width="20.5703125" style="104" bestFit="1" customWidth="1"/>
    <col min="19" max="256" width="11.42578125" style="104"/>
    <col min="257" max="257" width="4.5703125" style="104" customWidth="1"/>
    <col min="258" max="258" width="7.85546875" style="104" customWidth="1"/>
    <col min="259" max="259" width="1.85546875" style="104" customWidth="1"/>
    <col min="260" max="260" width="56" style="104" customWidth="1"/>
    <col min="261" max="261" width="37.42578125" style="104" customWidth="1"/>
    <col min="262" max="262" width="26.140625" style="104" customWidth="1"/>
    <col min="263" max="263" width="20.5703125" style="104" customWidth="1"/>
    <col min="264" max="264" width="18.85546875" style="104" customWidth="1"/>
    <col min="265" max="265" width="9.85546875" style="104" customWidth="1"/>
    <col min="266" max="266" width="21.85546875" style="104" bestFit="1" customWidth="1"/>
    <col min="267" max="267" width="4.5703125" style="104" customWidth="1"/>
    <col min="268" max="268" width="21.140625" style="104" customWidth="1"/>
    <col min="269" max="269" width="19.42578125" style="104" customWidth="1"/>
    <col min="270" max="270" width="28.85546875" style="104" bestFit="1" customWidth="1"/>
    <col min="271" max="271" width="3.140625" style="104" customWidth="1"/>
    <col min="272" max="272" width="21.85546875" style="104" customWidth="1"/>
    <col min="273" max="273" width="11.42578125" style="104" customWidth="1"/>
    <col min="274" max="274" width="20.5703125" style="104" bestFit="1" customWidth="1"/>
    <col min="275" max="512" width="11.42578125" style="104"/>
    <col min="513" max="513" width="4.5703125" style="104" customWidth="1"/>
    <col min="514" max="514" width="7.85546875" style="104" customWidth="1"/>
    <col min="515" max="515" width="1.85546875" style="104" customWidth="1"/>
    <col min="516" max="516" width="56" style="104" customWidth="1"/>
    <col min="517" max="517" width="37.42578125" style="104" customWidth="1"/>
    <col min="518" max="518" width="26.140625" style="104" customWidth="1"/>
    <col min="519" max="519" width="20.5703125" style="104" customWidth="1"/>
    <col min="520" max="520" width="18.85546875" style="104" customWidth="1"/>
    <col min="521" max="521" width="9.85546875" style="104" customWidth="1"/>
    <col min="522" max="522" width="21.85546875" style="104" bestFit="1" customWidth="1"/>
    <col min="523" max="523" width="4.5703125" style="104" customWidth="1"/>
    <col min="524" max="524" width="21.140625" style="104" customWidth="1"/>
    <col min="525" max="525" width="19.42578125" style="104" customWidth="1"/>
    <col min="526" max="526" width="28.85546875" style="104" bestFit="1" customWidth="1"/>
    <col min="527" max="527" width="3.140625" style="104" customWidth="1"/>
    <col min="528" max="528" width="21.85546875" style="104" customWidth="1"/>
    <col min="529" max="529" width="11.42578125" style="104" customWidth="1"/>
    <col min="530" max="530" width="20.5703125" style="104" bestFit="1" customWidth="1"/>
    <col min="531" max="768" width="11.42578125" style="104"/>
    <col min="769" max="769" width="4.5703125" style="104" customWidth="1"/>
    <col min="770" max="770" width="7.85546875" style="104" customWidth="1"/>
    <col min="771" max="771" width="1.85546875" style="104" customWidth="1"/>
    <col min="772" max="772" width="56" style="104" customWidth="1"/>
    <col min="773" max="773" width="37.42578125" style="104" customWidth="1"/>
    <col min="774" max="774" width="26.140625" style="104" customWidth="1"/>
    <col min="775" max="775" width="20.5703125" style="104" customWidth="1"/>
    <col min="776" max="776" width="18.85546875" style="104" customWidth="1"/>
    <col min="777" max="777" width="9.85546875" style="104" customWidth="1"/>
    <col min="778" max="778" width="21.85546875" style="104" bestFit="1" customWidth="1"/>
    <col min="779" max="779" width="4.5703125" style="104" customWidth="1"/>
    <col min="780" max="780" width="21.140625" style="104" customWidth="1"/>
    <col min="781" max="781" width="19.42578125" style="104" customWidth="1"/>
    <col min="782" max="782" width="28.85546875" style="104" bestFit="1" customWidth="1"/>
    <col min="783" max="783" width="3.140625" style="104" customWidth="1"/>
    <col min="784" max="784" width="21.85546875" style="104" customWidth="1"/>
    <col min="785" max="785" width="11.42578125" style="104" customWidth="1"/>
    <col min="786" max="786" width="20.5703125" style="104" bestFit="1" customWidth="1"/>
    <col min="787" max="1024" width="11.42578125" style="104"/>
    <col min="1025" max="1025" width="4.5703125" style="104" customWidth="1"/>
    <col min="1026" max="1026" width="7.85546875" style="104" customWidth="1"/>
    <col min="1027" max="1027" width="1.85546875" style="104" customWidth="1"/>
    <col min="1028" max="1028" width="56" style="104" customWidth="1"/>
    <col min="1029" max="1029" width="37.42578125" style="104" customWidth="1"/>
    <col min="1030" max="1030" width="26.140625" style="104" customWidth="1"/>
    <col min="1031" max="1031" width="20.5703125" style="104" customWidth="1"/>
    <col min="1032" max="1032" width="18.85546875" style="104" customWidth="1"/>
    <col min="1033" max="1033" width="9.85546875" style="104" customWidth="1"/>
    <col min="1034" max="1034" width="21.85546875" style="104" bestFit="1" customWidth="1"/>
    <col min="1035" max="1035" width="4.5703125" style="104" customWidth="1"/>
    <col min="1036" max="1036" width="21.140625" style="104" customWidth="1"/>
    <col min="1037" max="1037" width="19.42578125" style="104" customWidth="1"/>
    <col min="1038" max="1038" width="28.85546875" style="104" bestFit="1" customWidth="1"/>
    <col min="1039" max="1039" width="3.140625" style="104" customWidth="1"/>
    <col min="1040" max="1040" width="21.85546875" style="104" customWidth="1"/>
    <col min="1041" max="1041" width="11.42578125" style="104" customWidth="1"/>
    <col min="1042" max="1042" width="20.5703125" style="104" bestFit="1" customWidth="1"/>
    <col min="1043" max="1280" width="11.42578125" style="104"/>
    <col min="1281" max="1281" width="4.5703125" style="104" customWidth="1"/>
    <col min="1282" max="1282" width="7.85546875" style="104" customWidth="1"/>
    <col min="1283" max="1283" width="1.85546875" style="104" customWidth="1"/>
    <col min="1284" max="1284" width="56" style="104" customWidth="1"/>
    <col min="1285" max="1285" width="37.42578125" style="104" customWidth="1"/>
    <col min="1286" max="1286" width="26.140625" style="104" customWidth="1"/>
    <col min="1287" max="1287" width="20.5703125" style="104" customWidth="1"/>
    <col min="1288" max="1288" width="18.85546875" style="104" customWidth="1"/>
    <col min="1289" max="1289" width="9.85546875" style="104" customWidth="1"/>
    <col min="1290" max="1290" width="21.85546875" style="104" bestFit="1" customWidth="1"/>
    <col min="1291" max="1291" width="4.5703125" style="104" customWidth="1"/>
    <col min="1292" max="1292" width="21.140625" style="104" customWidth="1"/>
    <col min="1293" max="1293" width="19.42578125" style="104" customWidth="1"/>
    <col min="1294" max="1294" width="28.85546875" style="104" bestFit="1" customWidth="1"/>
    <col min="1295" max="1295" width="3.140625" style="104" customWidth="1"/>
    <col min="1296" max="1296" width="21.85546875" style="104" customWidth="1"/>
    <col min="1297" max="1297" width="11.42578125" style="104" customWidth="1"/>
    <col min="1298" max="1298" width="20.5703125" style="104" bestFit="1" customWidth="1"/>
    <col min="1299" max="1536" width="11.42578125" style="104"/>
    <col min="1537" max="1537" width="4.5703125" style="104" customWidth="1"/>
    <col min="1538" max="1538" width="7.85546875" style="104" customWidth="1"/>
    <col min="1539" max="1539" width="1.85546875" style="104" customWidth="1"/>
    <col min="1540" max="1540" width="56" style="104" customWidth="1"/>
    <col min="1541" max="1541" width="37.42578125" style="104" customWidth="1"/>
    <col min="1542" max="1542" width="26.140625" style="104" customWidth="1"/>
    <col min="1543" max="1543" width="20.5703125" style="104" customWidth="1"/>
    <col min="1544" max="1544" width="18.85546875" style="104" customWidth="1"/>
    <col min="1545" max="1545" width="9.85546875" style="104" customWidth="1"/>
    <col min="1546" max="1546" width="21.85546875" style="104" bestFit="1" customWidth="1"/>
    <col min="1547" max="1547" width="4.5703125" style="104" customWidth="1"/>
    <col min="1548" max="1548" width="21.140625" style="104" customWidth="1"/>
    <col min="1549" max="1549" width="19.42578125" style="104" customWidth="1"/>
    <col min="1550" max="1550" width="28.85546875" style="104" bestFit="1" customWidth="1"/>
    <col min="1551" max="1551" width="3.140625" style="104" customWidth="1"/>
    <col min="1552" max="1552" width="21.85546875" style="104" customWidth="1"/>
    <col min="1553" max="1553" width="11.42578125" style="104" customWidth="1"/>
    <col min="1554" max="1554" width="20.5703125" style="104" bestFit="1" customWidth="1"/>
    <col min="1555" max="1792" width="11.42578125" style="104"/>
    <col min="1793" max="1793" width="4.5703125" style="104" customWidth="1"/>
    <col min="1794" max="1794" width="7.85546875" style="104" customWidth="1"/>
    <col min="1795" max="1795" width="1.85546875" style="104" customWidth="1"/>
    <col min="1796" max="1796" width="56" style="104" customWidth="1"/>
    <col min="1797" max="1797" width="37.42578125" style="104" customWidth="1"/>
    <col min="1798" max="1798" width="26.140625" style="104" customWidth="1"/>
    <col min="1799" max="1799" width="20.5703125" style="104" customWidth="1"/>
    <col min="1800" max="1800" width="18.85546875" style="104" customWidth="1"/>
    <col min="1801" max="1801" width="9.85546875" style="104" customWidth="1"/>
    <col min="1802" max="1802" width="21.85546875" style="104" bestFit="1" customWidth="1"/>
    <col min="1803" max="1803" width="4.5703125" style="104" customWidth="1"/>
    <col min="1804" max="1804" width="21.140625" style="104" customWidth="1"/>
    <col min="1805" max="1805" width="19.42578125" style="104" customWidth="1"/>
    <col min="1806" max="1806" width="28.85546875" style="104" bestFit="1" customWidth="1"/>
    <col min="1807" max="1807" width="3.140625" style="104" customWidth="1"/>
    <col min="1808" max="1808" width="21.85546875" style="104" customWidth="1"/>
    <col min="1809" max="1809" width="11.42578125" style="104" customWidth="1"/>
    <col min="1810" max="1810" width="20.5703125" style="104" bestFit="1" customWidth="1"/>
    <col min="1811" max="2048" width="11.42578125" style="104"/>
    <col min="2049" max="2049" width="4.5703125" style="104" customWidth="1"/>
    <col min="2050" max="2050" width="7.85546875" style="104" customWidth="1"/>
    <col min="2051" max="2051" width="1.85546875" style="104" customWidth="1"/>
    <col min="2052" max="2052" width="56" style="104" customWidth="1"/>
    <col min="2053" max="2053" width="37.42578125" style="104" customWidth="1"/>
    <col min="2054" max="2054" width="26.140625" style="104" customWidth="1"/>
    <col min="2055" max="2055" width="20.5703125" style="104" customWidth="1"/>
    <col min="2056" max="2056" width="18.85546875" style="104" customWidth="1"/>
    <col min="2057" max="2057" width="9.85546875" style="104" customWidth="1"/>
    <col min="2058" max="2058" width="21.85546875" style="104" bestFit="1" customWidth="1"/>
    <col min="2059" max="2059" width="4.5703125" style="104" customWidth="1"/>
    <col min="2060" max="2060" width="21.140625" style="104" customWidth="1"/>
    <col min="2061" max="2061" width="19.42578125" style="104" customWidth="1"/>
    <col min="2062" max="2062" width="28.85546875" style="104" bestFit="1" customWidth="1"/>
    <col min="2063" max="2063" width="3.140625" style="104" customWidth="1"/>
    <col min="2064" max="2064" width="21.85546875" style="104" customWidth="1"/>
    <col min="2065" max="2065" width="11.42578125" style="104" customWidth="1"/>
    <col min="2066" max="2066" width="20.5703125" style="104" bestFit="1" customWidth="1"/>
    <col min="2067" max="2304" width="11.42578125" style="104"/>
    <col min="2305" max="2305" width="4.5703125" style="104" customWidth="1"/>
    <col min="2306" max="2306" width="7.85546875" style="104" customWidth="1"/>
    <col min="2307" max="2307" width="1.85546875" style="104" customWidth="1"/>
    <col min="2308" max="2308" width="56" style="104" customWidth="1"/>
    <col min="2309" max="2309" width="37.42578125" style="104" customWidth="1"/>
    <col min="2310" max="2310" width="26.140625" style="104" customWidth="1"/>
    <col min="2311" max="2311" width="20.5703125" style="104" customWidth="1"/>
    <col min="2312" max="2312" width="18.85546875" style="104" customWidth="1"/>
    <col min="2313" max="2313" width="9.85546875" style="104" customWidth="1"/>
    <col min="2314" max="2314" width="21.85546875" style="104" bestFit="1" customWidth="1"/>
    <col min="2315" max="2315" width="4.5703125" style="104" customWidth="1"/>
    <col min="2316" max="2316" width="21.140625" style="104" customWidth="1"/>
    <col min="2317" max="2317" width="19.42578125" style="104" customWidth="1"/>
    <col min="2318" max="2318" width="28.85546875" style="104" bestFit="1" customWidth="1"/>
    <col min="2319" max="2319" width="3.140625" style="104" customWidth="1"/>
    <col min="2320" max="2320" width="21.85546875" style="104" customWidth="1"/>
    <col min="2321" max="2321" width="11.42578125" style="104" customWidth="1"/>
    <col min="2322" max="2322" width="20.5703125" style="104" bestFit="1" customWidth="1"/>
    <col min="2323" max="2560" width="11.42578125" style="104"/>
    <col min="2561" max="2561" width="4.5703125" style="104" customWidth="1"/>
    <col min="2562" max="2562" width="7.85546875" style="104" customWidth="1"/>
    <col min="2563" max="2563" width="1.85546875" style="104" customWidth="1"/>
    <col min="2564" max="2564" width="56" style="104" customWidth="1"/>
    <col min="2565" max="2565" width="37.42578125" style="104" customWidth="1"/>
    <col min="2566" max="2566" width="26.140625" style="104" customWidth="1"/>
    <col min="2567" max="2567" width="20.5703125" style="104" customWidth="1"/>
    <col min="2568" max="2568" width="18.85546875" style="104" customWidth="1"/>
    <col min="2569" max="2569" width="9.85546875" style="104" customWidth="1"/>
    <col min="2570" max="2570" width="21.85546875" style="104" bestFit="1" customWidth="1"/>
    <col min="2571" max="2571" width="4.5703125" style="104" customWidth="1"/>
    <col min="2572" max="2572" width="21.140625" style="104" customWidth="1"/>
    <col min="2573" max="2573" width="19.42578125" style="104" customWidth="1"/>
    <col min="2574" max="2574" width="28.85546875" style="104" bestFit="1" customWidth="1"/>
    <col min="2575" max="2575" width="3.140625" style="104" customWidth="1"/>
    <col min="2576" max="2576" width="21.85546875" style="104" customWidth="1"/>
    <col min="2577" max="2577" width="11.42578125" style="104" customWidth="1"/>
    <col min="2578" max="2578" width="20.5703125" style="104" bestFit="1" customWidth="1"/>
    <col min="2579" max="2816" width="11.42578125" style="104"/>
    <col min="2817" max="2817" width="4.5703125" style="104" customWidth="1"/>
    <col min="2818" max="2818" width="7.85546875" style="104" customWidth="1"/>
    <col min="2819" max="2819" width="1.85546875" style="104" customWidth="1"/>
    <col min="2820" max="2820" width="56" style="104" customWidth="1"/>
    <col min="2821" max="2821" width="37.42578125" style="104" customWidth="1"/>
    <col min="2822" max="2822" width="26.140625" style="104" customWidth="1"/>
    <col min="2823" max="2823" width="20.5703125" style="104" customWidth="1"/>
    <col min="2824" max="2824" width="18.85546875" style="104" customWidth="1"/>
    <col min="2825" max="2825" width="9.85546875" style="104" customWidth="1"/>
    <col min="2826" max="2826" width="21.85546875" style="104" bestFit="1" customWidth="1"/>
    <col min="2827" max="2827" width="4.5703125" style="104" customWidth="1"/>
    <col min="2828" max="2828" width="21.140625" style="104" customWidth="1"/>
    <col min="2829" max="2829" width="19.42578125" style="104" customWidth="1"/>
    <col min="2830" max="2830" width="28.85546875" style="104" bestFit="1" customWidth="1"/>
    <col min="2831" max="2831" width="3.140625" style="104" customWidth="1"/>
    <col min="2832" max="2832" width="21.85546875" style="104" customWidth="1"/>
    <col min="2833" max="2833" width="11.42578125" style="104" customWidth="1"/>
    <col min="2834" max="2834" width="20.5703125" style="104" bestFit="1" customWidth="1"/>
    <col min="2835" max="3072" width="11.42578125" style="104"/>
    <col min="3073" max="3073" width="4.5703125" style="104" customWidth="1"/>
    <col min="3074" max="3074" width="7.85546875" style="104" customWidth="1"/>
    <col min="3075" max="3075" width="1.85546875" style="104" customWidth="1"/>
    <col min="3076" max="3076" width="56" style="104" customWidth="1"/>
    <col min="3077" max="3077" width="37.42578125" style="104" customWidth="1"/>
    <col min="3078" max="3078" width="26.140625" style="104" customWidth="1"/>
    <col min="3079" max="3079" width="20.5703125" style="104" customWidth="1"/>
    <col min="3080" max="3080" width="18.85546875" style="104" customWidth="1"/>
    <col min="3081" max="3081" width="9.85546875" style="104" customWidth="1"/>
    <col min="3082" max="3082" width="21.85546875" style="104" bestFit="1" customWidth="1"/>
    <col min="3083" max="3083" width="4.5703125" style="104" customWidth="1"/>
    <col min="3084" max="3084" width="21.140625" style="104" customWidth="1"/>
    <col min="3085" max="3085" width="19.42578125" style="104" customWidth="1"/>
    <col min="3086" max="3086" width="28.85546875" style="104" bestFit="1" customWidth="1"/>
    <col min="3087" max="3087" width="3.140625" style="104" customWidth="1"/>
    <col min="3088" max="3088" width="21.85546875" style="104" customWidth="1"/>
    <col min="3089" max="3089" width="11.42578125" style="104" customWidth="1"/>
    <col min="3090" max="3090" width="20.5703125" style="104" bestFit="1" customWidth="1"/>
    <col min="3091" max="3328" width="11.42578125" style="104"/>
    <col min="3329" max="3329" width="4.5703125" style="104" customWidth="1"/>
    <col min="3330" max="3330" width="7.85546875" style="104" customWidth="1"/>
    <col min="3331" max="3331" width="1.85546875" style="104" customWidth="1"/>
    <col min="3332" max="3332" width="56" style="104" customWidth="1"/>
    <col min="3333" max="3333" width="37.42578125" style="104" customWidth="1"/>
    <col min="3334" max="3334" width="26.140625" style="104" customWidth="1"/>
    <col min="3335" max="3335" width="20.5703125" style="104" customWidth="1"/>
    <col min="3336" max="3336" width="18.85546875" style="104" customWidth="1"/>
    <col min="3337" max="3337" width="9.85546875" style="104" customWidth="1"/>
    <col min="3338" max="3338" width="21.85546875" style="104" bestFit="1" customWidth="1"/>
    <col min="3339" max="3339" width="4.5703125" style="104" customWidth="1"/>
    <col min="3340" max="3340" width="21.140625" style="104" customWidth="1"/>
    <col min="3341" max="3341" width="19.42578125" style="104" customWidth="1"/>
    <col min="3342" max="3342" width="28.85546875" style="104" bestFit="1" customWidth="1"/>
    <col min="3343" max="3343" width="3.140625" style="104" customWidth="1"/>
    <col min="3344" max="3344" width="21.85546875" style="104" customWidth="1"/>
    <col min="3345" max="3345" width="11.42578125" style="104" customWidth="1"/>
    <col min="3346" max="3346" width="20.5703125" style="104" bestFit="1" customWidth="1"/>
    <col min="3347" max="3584" width="11.42578125" style="104"/>
    <col min="3585" max="3585" width="4.5703125" style="104" customWidth="1"/>
    <col min="3586" max="3586" width="7.85546875" style="104" customWidth="1"/>
    <col min="3587" max="3587" width="1.85546875" style="104" customWidth="1"/>
    <col min="3588" max="3588" width="56" style="104" customWidth="1"/>
    <col min="3589" max="3589" width="37.42578125" style="104" customWidth="1"/>
    <col min="3590" max="3590" width="26.140625" style="104" customWidth="1"/>
    <col min="3591" max="3591" width="20.5703125" style="104" customWidth="1"/>
    <col min="3592" max="3592" width="18.85546875" style="104" customWidth="1"/>
    <col min="3593" max="3593" width="9.85546875" style="104" customWidth="1"/>
    <col min="3594" max="3594" width="21.85546875" style="104" bestFit="1" customWidth="1"/>
    <col min="3595" max="3595" width="4.5703125" style="104" customWidth="1"/>
    <col min="3596" max="3596" width="21.140625" style="104" customWidth="1"/>
    <col min="3597" max="3597" width="19.42578125" style="104" customWidth="1"/>
    <col min="3598" max="3598" width="28.85546875" style="104" bestFit="1" customWidth="1"/>
    <col min="3599" max="3599" width="3.140625" style="104" customWidth="1"/>
    <col min="3600" max="3600" width="21.85546875" style="104" customWidth="1"/>
    <col min="3601" max="3601" width="11.42578125" style="104" customWidth="1"/>
    <col min="3602" max="3602" width="20.5703125" style="104" bestFit="1" customWidth="1"/>
    <col min="3603" max="3840" width="11.42578125" style="104"/>
    <col min="3841" max="3841" width="4.5703125" style="104" customWidth="1"/>
    <col min="3842" max="3842" width="7.85546875" style="104" customWidth="1"/>
    <col min="3843" max="3843" width="1.85546875" style="104" customWidth="1"/>
    <col min="3844" max="3844" width="56" style="104" customWidth="1"/>
    <col min="3845" max="3845" width="37.42578125" style="104" customWidth="1"/>
    <col min="3846" max="3846" width="26.140625" style="104" customWidth="1"/>
    <col min="3847" max="3847" width="20.5703125" style="104" customWidth="1"/>
    <col min="3848" max="3848" width="18.85546875" style="104" customWidth="1"/>
    <col min="3849" max="3849" width="9.85546875" style="104" customWidth="1"/>
    <col min="3850" max="3850" width="21.85546875" style="104" bestFit="1" customWidth="1"/>
    <col min="3851" max="3851" width="4.5703125" style="104" customWidth="1"/>
    <col min="3852" max="3852" width="21.140625" style="104" customWidth="1"/>
    <col min="3853" max="3853" width="19.42578125" style="104" customWidth="1"/>
    <col min="3854" max="3854" width="28.85546875" style="104" bestFit="1" customWidth="1"/>
    <col min="3855" max="3855" width="3.140625" style="104" customWidth="1"/>
    <col min="3856" max="3856" width="21.85546875" style="104" customWidth="1"/>
    <col min="3857" max="3857" width="11.42578125" style="104" customWidth="1"/>
    <col min="3858" max="3858" width="20.5703125" style="104" bestFit="1" customWidth="1"/>
    <col min="3859" max="4096" width="11.42578125" style="104"/>
    <col min="4097" max="4097" width="4.5703125" style="104" customWidth="1"/>
    <col min="4098" max="4098" width="7.85546875" style="104" customWidth="1"/>
    <col min="4099" max="4099" width="1.85546875" style="104" customWidth="1"/>
    <col min="4100" max="4100" width="56" style="104" customWidth="1"/>
    <col min="4101" max="4101" width="37.42578125" style="104" customWidth="1"/>
    <col min="4102" max="4102" width="26.140625" style="104" customWidth="1"/>
    <col min="4103" max="4103" width="20.5703125" style="104" customWidth="1"/>
    <col min="4104" max="4104" width="18.85546875" style="104" customWidth="1"/>
    <col min="4105" max="4105" width="9.85546875" style="104" customWidth="1"/>
    <col min="4106" max="4106" width="21.85546875" style="104" bestFit="1" customWidth="1"/>
    <col min="4107" max="4107" width="4.5703125" style="104" customWidth="1"/>
    <col min="4108" max="4108" width="21.140625" style="104" customWidth="1"/>
    <col min="4109" max="4109" width="19.42578125" style="104" customWidth="1"/>
    <col min="4110" max="4110" width="28.85546875" style="104" bestFit="1" customWidth="1"/>
    <col min="4111" max="4111" width="3.140625" style="104" customWidth="1"/>
    <col min="4112" max="4112" width="21.85546875" style="104" customWidth="1"/>
    <col min="4113" max="4113" width="11.42578125" style="104" customWidth="1"/>
    <col min="4114" max="4114" width="20.5703125" style="104" bestFit="1" customWidth="1"/>
    <col min="4115" max="4352" width="11.42578125" style="104"/>
    <col min="4353" max="4353" width="4.5703125" style="104" customWidth="1"/>
    <col min="4354" max="4354" width="7.85546875" style="104" customWidth="1"/>
    <col min="4355" max="4355" width="1.85546875" style="104" customWidth="1"/>
    <col min="4356" max="4356" width="56" style="104" customWidth="1"/>
    <col min="4357" max="4357" width="37.42578125" style="104" customWidth="1"/>
    <col min="4358" max="4358" width="26.140625" style="104" customWidth="1"/>
    <col min="4359" max="4359" width="20.5703125" style="104" customWidth="1"/>
    <col min="4360" max="4360" width="18.85546875" style="104" customWidth="1"/>
    <col min="4361" max="4361" width="9.85546875" style="104" customWidth="1"/>
    <col min="4362" max="4362" width="21.85546875" style="104" bestFit="1" customWidth="1"/>
    <col min="4363" max="4363" width="4.5703125" style="104" customWidth="1"/>
    <col min="4364" max="4364" width="21.140625" style="104" customWidth="1"/>
    <col min="4365" max="4365" width="19.42578125" style="104" customWidth="1"/>
    <col min="4366" max="4366" width="28.85546875" style="104" bestFit="1" customWidth="1"/>
    <col min="4367" max="4367" width="3.140625" style="104" customWidth="1"/>
    <col min="4368" max="4368" width="21.85546875" style="104" customWidth="1"/>
    <col min="4369" max="4369" width="11.42578125" style="104" customWidth="1"/>
    <col min="4370" max="4370" width="20.5703125" style="104" bestFit="1" customWidth="1"/>
    <col min="4371" max="4608" width="11.42578125" style="104"/>
    <col min="4609" max="4609" width="4.5703125" style="104" customWidth="1"/>
    <col min="4610" max="4610" width="7.85546875" style="104" customWidth="1"/>
    <col min="4611" max="4611" width="1.85546875" style="104" customWidth="1"/>
    <col min="4612" max="4612" width="56" style="104" customWidth="1"/>
    <col min="4613" max="4613" width="37.42578125" style="104" customWidth="1"/>
    <col min="4614" max="4614" width="26.140625" style="104" customWidth="1"/>
    <col min="4615" max="4615" width="20.5703125" style="104" customWidth="1"/>
    <col min="4616" max="4616" width="18.85546875" style="104" customWidth="1"/>
    <col min="4617" max="4617" width="9.85546875" style="104" customWidth="1"/>
    <col min="4618" max="4618" width="21.85546875" style="104" bestFit="1" customWidth="1"/>
    <col min="4619" max="4619" width="4.5703125" style="104" customWidth="1"/>
    <col min="4620" max="4620" width="21.140625" style="104" customWidth="1"/>
    <col min="4621" max="4621" width="19.42578125" style="104" customWidth="1"/>
    <col min="4622" max="4622" width="28.85546875" style="104" bestFit="1" customWidth="1"/>
    <col min="4623" max="4623" width="3.140625" style="104" customWidth="1"/>
    <col min="4624" max="4624" width="21.85546875" style="104" customWidth="1"/>
    <col min="4625" max="4625" width="11.42578125" style="104" customWidth="1"/>
    <col min="4626" max="4626" width="20.5703125" style="104" bestFit="1" customWidth="1"/>
    <col min="4627" max="4864" width="11.42578125" style="104"/>
    <col min="4865" max="4865" width="4.5703125" style="104" customWidth="1"/>
    <col min="4866" max="4866" width="7.85546875" style="104" customWidth="1"/>
    <col min="4867" max="4867" width="1.85546875" style="104" customWidth="1"/>
    <col min="4868" max="4868" width="56" style="104" customWidth="1"/>
    <col min="4869" max="4869" width="37.42578125" style="104" customWidth="1"/>
    <col min="4870" max="4870" width="26.140625" style="104" customWidth="1"/>
    <col min="4871" max="4871" width="20.5703125" style="104" customWidth="1"/>
    <col min="4872" max="4872" width="18.85546875" style="104" customWidth="1"/>
    <col min="4873" max="4873" width="9.85546875" style="104" customWidth="1"/>
    <col min="4874" max="4874" width="21.85546875" style="104" bestFit="1" customWidth="1"/>
    <col min="4875" max="4875" width="4.5703125" style="104" customWidth="1"/>
    <col min="4876" max="4876" width="21.140625" style="104" customWidth="1"/>
    <col min="4877" max="4877" width="19.42578125" style="104" customWidth="1"/>
    <col min="4878" max="4878" width="28.85546875" style="104" bestFit="1" customWidth="1"/>
    <col min="4879" max="4879" width="3.140625" style="104" customWidth="1"/>
    <col min="4880" max="4880" width="21.85546875" style="104" customWidth="1"/>
    <col min="4881" max="4881" width="11.42578125" style="104" customWidth="1"/>
    <col min="4882" max="4882" width="20.5703125" style="104" bestFit="1" customWidth="1"/>
    <col min="4883" max="5120" width="11.42578125" style="104"/>
    <col min="5121" max="5121" width="4.5703125" style="104" customWidth="1"/>
    <col min="5122" max="5122" width="7.85546875" style="104" customWidth="1"/>
    <col min="5123" max="5123" width="1.85546875" style="104" customWidth="1"/>
    <col min="5124" max="5124" width="56" style="104" customWidth="1"/>
    <col min="5125" max="5125" width="37.42578125" style="104" customWidth="1"/>
    <col min="5126" max="5126" width="26.140625" style="104" customWidth="1"/>
    <col min="5127" max="5127" width="20.5703125" style="104" customWidth="1"/>
    <col min="5128" max="5128" width="18.85546875" style="104" customWidth="1"/>
    <col min="5129" max="5129" width="9.85546875" style="104" customWidth="1"/>
    <col min="5130" max="5130" width="21.85546875" style="104" bestFit="1" customWidth="1"/>
    <col min="5131" max="5131" width="4.5703125" style="104" customWidth="1"/>
    <col min="5132" max="5132" width="21.140625" style="104" customWidth="1"/>
    <col min="5133" max="5133" width="19.42578125" style="104" customWidth="1"/>
    <col min="5134" max="5134" width="28.85546875" style="104" bestFit="1" customWidth="1"/>
    <col min="5135" max="5135" width="3.140625" style="104" customWidth="1"/>
    <col min="5136" max="5136" width="21.85546875" style="104" customWidth="1"/>
    <col min="5137" max="5137" width="11.42578125" style="104" customWidth="1"/>
    <col min="5138" max="5138" width="20.5703125" style="104" bestFit="1" customWidth="1"/>
    <col min="5139" max="5376" width="11.42578125" style="104"/>
    <col min="5377" max="5377" width="4.5703125" style="104" customWidth="1"/>
    <col min="5378" max="5378" width="7.85546875" style="104" customWidth="1"/>
    <col min="5379" max="5379" width="1.85546875" style="104" customWidth="1"/>
    <col min="5380" max="5380" width="56" style="104" customWidth="1"/>
    <col min="5381" max="5381" width="37.42578125" style="104" customWidth="1"/>
    <col min="5382" max="5382" width="26.140625" style="104" customWidth="1"/>
    <col min="5383" max="5383" width="20.5703125" style="104" customWidth="1"/>
    <col min="5384" max="5384" width="18.85546875" style="104" customWidth="1"/>
    <col min="5385" max="5385" width="9.85546875" style="104" customWidth="1"/>
    <col min="5386" max="5386" width="21.85546875" style="104" bestFit="1" customWidth="1"/>
    <col min="5387" max="5387" width="4.5703125" style="104" customWidth="1"/>
    <col min="5388" max="5388" width="21.140625" style="104" customWidth="1"/>
    <col min="5389" max="5389" width="19.42578125" style="104" customWidth="1"/>
    <col min="5390" max="5390" width="28.85546875" style="104" bestFit="1" customWidth="1"/>
    <col min="5391" max="5391" width="3.140625" style="104" customWidth="1"/>
    <col min="5392" max="5392" width="21.85546875" style="104" customWidth="1"/>
    <col min="5393" max="5393" width="11.42578125" style="104" customWidth="1"/>
    <col min="5394" max="5394" width="20.5703125" style="104" bestFit="1" customWidth="1"/>
    <col min="5395" max="5632" width="11.42578125" style="104"/>
    <col min="5633" max="5633" width="4.5703125" style="104" customWidth="1"/>
    <col min="5634" max="5634" width="7.85546875" style="104" customWidth="1"/>
    <col min="5635" max="5635" width="1.85546875" style="104" customWidth="1"/>
    <col min="5636" max="5636" width="56" style="104" customWidth="1"/>
    <col min="5637" max="5637" width="37.42578125" style="104" customWidth="1"/>
    <col min="5638" max="5638" width="26.140625" style="104" customWidth="1"/>
    <col min="5639" max="5639" width="20.5703125" style="104" customWidth="1"/>
    <col min="5640" max="5640" width="18.85546875" style="104" customWidth="1"/>
    <col min="5641" max="5641" width="9.85546875" style="104" customWidth="1"/>
    <col min="5642" max="5642" width="21.85546875" style="104" bestFit="1" customWidth="1"/>
    <col min="5643" max="5643" width="4.5703125" style="104" customWidth="1"/>
    <col min="5644" max="5644" width="21.140625" style="104" customWidth="1"/>
    <col min="5645" max="5645" width="19.42578125" style="104" customWidth="1"/>
    <col min="5646" max="5646" width="28.85546875" style="104" bestFit="1" customWidth="1"/>
    <col min="5647" max="5647" width="3.140625" style="104" customWidth="1"/>
    <col min="5648" max="5648" width="21.85546875" style="104" customWidth="1"/>
    <col min="5649" max="5649" width="11.42578125" style="104" customWidth="1"/>
    <col min="5650" max="5650" width="20.5703125" style="104" bestFit="1" customWidth="1"/>
    <col min="5651" max="5888" width="11.42578125" style="104"/>
    <col min="5889" max="5889" width="4.5703125" style="104" customWidth="1"/>
    <col min="5890" max="5890" width="7.85546875" style="104" customWidth="1"/>
    <col min="5891" max="5891" width="1.85546875" style="104" customWidth="1"/>
    <col min="5892" max="5892" width="56" style="104" customWidth="1"/>
    <col min="5893" max="5893" width="37.42578125" style="104" customWidth="1"/>
    <col min="5894" max="5894" width="26.140625" style="104" customWidth="1"/>
    <col min="5895" max="5895" width="20.5703125" style="104" customWidth="1"/>
    <col min="5896" max="5896" width="18.85546875" style="104" customWidth="1"/>
    <col min="5897" max="5897" width="9.85546875" style="104" customWidth="1"/>
    <col min="5898" max="5898" width="21.85546875" style="104" bestFit="1" customWidth="1"/>
    <col min="5899" max="5899" width="4.5703125" style="104" customWidth="1"/>
    <col min="5900" max="5900" width="21.140625" style="104" customWidth="1"/>
    <col min="5901" max="5901" width="19.42578125" style="104" customWidth="1"/>
    <col min="5902" max="5902" width="28.85546875" style="104" bestFit="1" customWidth="1"/>
    <col min="5903" max="5903" width="3.140625" style="104" customWidth="1"/>
    <col min="5904" max="5904" width="21.85546875" style="104" customWidth="1"/>
    <col min="5905" max="5905" width="11.42578125" style="104" customWidth="1"/>
    <col min="5906" max="5906" width="20.5703125" style="104" bestFit="1" customWidth="1"/>
    <col min="5907" max="6144" width="11.42578125" style="104"/>
    <col min="6145" max="6145" width="4.5703125" style="104" customWidth="1"/>
    <col min="6146" max="6146" width="7.85546875" style="104" customWidth="1"/>
    <col min="6147" max="6147" width="1.85546875" style="104" customWidth="1"/>
    <col min="6148" max="6148" width="56" style="104" customWidth="1"/>
    <col min="6149" max="6149" width="37.42578125" style="104" customWidth="1"/>
    <col min="6150" max="6150" width="26.140625" style="104" customWidth="1"/>
    <col min="6151" max="6151" width="20.5703125" style="104" customWidth="1"/>
    <col min="6152" max="6152" width="18.85546875" style="104" customWidth="1"/>
    <col min="6153" max="6153" width="9.85546875" style="104" customWidth="1"/>
    <col min="6154" max="6154" width="21.85546875" style="104" bestFit="1" customWidth="1"/>
    <col min="6155" max="6155" width="4.5703125" style="104" customWidth="1"/>
    <col min="6156" max="6156" width="21.140625" style="104" customWidth="1"/>
    <col min="6157" max="6157" width="19.42578125" style="104" customWidth="1"/>
    <col min="6158" max="6158" width="28.85546875" style="104" bestFit="1" customWidth="1"/>
    <col min="6159" max="6159" width="3.140625" style="104" customWidth="1"/>
    <col min="6160" max="6160" width="21.85546875" style="104" customWidth="1"/>
    <col min="6161" max="6161" width="11.42578125" style="104" customWidth="1"/>
    <col min="6162" max="6162" width="20.5703125" style="104" bestFit="1" customWidth="1"/>
    <col min="6163" max="6400" width="11.42578125" style="104"/>
    <col min="6401" max="6401" width="4.5703125" style="104" customWidth="1"/>
    <col min="6402" max="6402" width="7.85546875" style="104" customWidth="1"/>
    <col min="6403" max="6403" width="1.85546875" style="104" customWidth="1"/>
    <col min="6404" max="6404" width="56" style="104" customWidth="1"/>
    <col min="6405" max="6405" width="37.42578125" style="104" customWidth="1"/>
    <col min="6406" max="6406" width="26.140625" style="104" customWidth="1"/>
    <col min="6407" max="6407" width="20.5703125" style="104" customWidth="1"/>
    <col min="6408" max="6408" width="18.85546875" style="104" customWidth="1"/>
    <col min="6409" max="6409" width="9.85546875" style="104" customWidth="1"/>
    <col min="6410" max="6410" width="21.85546875" style="104" bestFit="1" customWidth="1"/>
    <col min="6411" max="6411" width="4.5703125" style="104" customWidth="1"/>
    <col min="6412" max="6412" width="21.140625" style="104" customWidth="1"/>
    <col min="6413" max="6413" width="19.42578125" style="104" customWidth="1"/>
    <col min="6414" max="6414" width="28.85546875" style="104" bestFit="1" customWidth="1"/>
    <col min="6415" max="6415" width="3.140625" style="104" customWidth="1"/>
    <col min="6416" max="6416" width="21.85546875" style="104" customWidth="1"/>
    <col min="6417" max="6417" width="11.42578125" style="104" customWidth="1"/>
    <col min="6418" max="6418" width="20.5703125" style="104" bestFit="1" customWidth="1"/>
    <col min="6419" max="6656" width="11.42578125" style="104"/>
    <col min="6657" max="6657" width="4.5703125" style="104" customWidth="1"/>
    <col min="6658" max="6658" width="7.85546875" style="104" customWidth="1"/>
    <col min="6659" max="6659" width="1.85546875" style="104" customWidth="1"/>
    <col min="6660" max="6660" width="56" style="104" customWidth="1"/>
    <col min="6661" max="6661" width="37.42578125" style="104" customWidth="1"/>
    <col min="6662" max="6662" width="26.140625" style="104" customWidth="1"/>
    <col min="6663" max="6663" width="20.5703125" style="104" customWidth="1"/>
    <col min="6664" max="6664" width="18.85546875" style="104" customWidth="1"/>
    <col min="6665" max="6665" width="9.85546875" style="104" customWidth="1"/>
    <col min="6666" max="6666" width="21.85546875" style="104" bestFit="1" customWidth="1"/>
    <col min="6667" max="6667" width="4.5703125" style="104" customWidth="1"/>
    <col min="6668" max="6668" width="21.140625" style="104" customWidth="1"/>
    <col min="6669" max="6669" width="19.42578125" style="104" customWidth="1"/>
    <col min="6670" max="6670" width="28.85546875" style="104" bestFit="1" customWidth="1"/>
    <col min="6671" max="6671" width="3.140625" style="104" customWidth="1"/>
    <col min="6672" max="6672" width="21.85546875" style="104" customWidth="1"/>
    <col min="6673" max="6673" width="11.42578125" style="104" customWidth="1"/>
    <col min="6674" max="6674" width="20.5703125" style="104" bestFit="1" customWidth="1"/>
    <col min="6675" max="6912" width="11.42578125" style="104"/>
    <col min="6913" max="6913" width="4.5703125" style="104" customWidth="1"/>
    <col min="6914" max="6914" width="7.85546875" style="104" customWidth="1"/>
    <col min="6915" max="6915" width="1.85546875" style="104" customWidth="1"/>
    <col min="6916" max="6916" width="56" style="104" customWidth="1"/>
    <col min="6917" max="6917" width="37.42578125" style="104" customWidth="1"/>
    <col min="6918" max="6918" width="26.140625" style="104" customWidth="1"/>
    <col min="6919" max="6919" width="20.5703125" style="104" customWidth="1"/>
    <col min="6920" max="6920" width="18.85546875" style="104" customWidth="1"/>
    <col min="6921" max="6921" width="9.85546875" style="104" customWidth="1"/>
    <col min="6922" max="6922" width="21.85546875" style="104" bestFit="1" customWidth="1"/>
    <col min="6923" max="6923" width="4.5703125" style="104" customWidth="1"/>
    <col min="6924" max="6924" width="21.140625" style="104" customWidth="1"/>
    <col min="6925" max="6925" width="19.42578125" style="104" customWidth="1"/>
    <col min="6926" max="6926" width="28.85546875" style="104" bestFit="1" customWidth="1"/>
    <col min="6927" max="6927" width="3.140625" style="104" customWidth="1"/>
    <col min="6928" max="6928" width="21.85546875" style="104" customWidth="1"/>
    <col min="6929" max="6929" width="11.42578125" style="104" customWidth="1"/>
    <col min="6930" max="6930" width="20.5703125" style="104" bestFit="1" customWidth="1"/>
    <col min="6931" max="7168" width="11.42578125" style="104"/>
    <col min="7169" max="7169" width="4.5703125" style="104" customWidth="1"/>
    <col min="7170" max="7170" width="7.85546875" style="104" customWidth="1"/>
    <col min="7171" max="7171" width="1.85546875" style="104" customWidth="1"/>
    <col min="7172" max="7172" width="56" style="104" customWidth="1"/>
    <col min="7173" max="7173" width="37.42578125" style="104" customWidth="1"/>
    <col min="7174" max="7174" width="26.140625" style="104" customWidth="1"/>
    <col min="7175" max="7175" width="20.5703125" style="104" customWidth="1"/>
    <col min="7176" max="7176" width="18.85546875" style="104" customWidth="1"/>
    <col min="7177" max="7177" width="9.85546875" style="104" customWidth="1"/>
    <col min="7178" max="7178" width="21.85546875" style="104" bestFit="1" customWidth="1"/>
    <col min="7179" max="7179" width="4.5703125" style="104" customWidth="1"/>
    <col min="7180" max="7180" width="21.140625" style="104" customWidth="1"/>
    <col min="7181" max="7181" width="19.42578125" style="104" customWidth="1"/>
    <col min="7182" max="7182" width="28.85546875" style="104" bestFit="1" customWidth="1"/>
    <col min="7183" max="7183" width="3.140625" style="104" customWidth="1"/>
    <col min="7184" max="7184" width="21.85546875" style="104" customWidth="1"/>
    <col min="7185" max="7185" width="11.42578125" style="104" customWidth="1"/>
    <col min="7186" max="7186" width="20.5703125" style="104" bestFit="1" customWidth="1"/>
    <col min="7187" max="7424" width="11.42578125" style="104"/>
    <col min="7425" max="7425" width="4.5703125" style="104" customWidth="1"/>
    <col min="7426" max="7426" width="7.85546875" style="104" customWidth="1"/>
    <col min="7427" max="7427" width="1.85546875" style="104" customWidth="1"/>
    <col min="7428" max="7428" width="56" style="104" customWidth="1"/>
    <col min="7429" max="7429" width="37.42578125" style="104" customWidth="1"/>
    <col min="7430" max="7430" width="26.140625" style="104" customWidth="1"/>
    <col min="7431" max="7431" width="20.5703125" style="104" customWidth="1"/>
    <col min="7432" max="7432" width="18.85546875" style="104" customWidth="1"/>
    <col min="7433" max="7433" width="9.85546875" style="104" customWidth="1"/>
    <col min="7434" max="7434" width="21.85546875" style="104" bestFit="1" customWidth="1"/>
    <col min="7435" max="7435" width="4.5703125" style="104" customWidth="1"/>
    <col min="7436" max="7436" width="21.140625" style="104" customWidth="1"/>
    <col min="7437" max="7437" width="19.42578125" style="104" customWidth="1"/>
    <col min="7438" max="7438" width="28.85546875" style="104" bestFit="1" customWidth="1"/>
    <col min="7439" max="7439" width="3.140625" style="104" customWidth="1"/>
    <col min="7440" max="7440" width="21.85546875" style="104" customWidth="1"/>
    <col min="7441" max="7441" width="11.42578125" style="104" customWidth="1"/>
    <col min="7442" max="7442" width="20.5703125" style="104" bestFit="1" customWidth="1"/>
    <col min="7443" max="7680" width="11.42578125" style="104"/>
    <col min="7681" max="7681" width="4.5703125" style="104" customWidth="1"/>
    <col min="7682" max="7682" width="7.85546875" style="104" customWidth="1"/>
    <col min="7683" max="7683" width="1.85546875" style="104" customWidth="1"/>
    <col min="7684" max="7684" width="56" style="104" customWidth="1"/>
    <col min="7685" max="7685" width="37.42578125" style="104" customWidth="1"/>
    <col min="7686" max="7686" width="26.140625" style="104" customWidth="1"/>
    <col min="7687" max="7687" width="20.5703125" style="104" customWidth="1"/>
    <col min="7688" max="7688" width="18.85546875" style="104" customWidth="1"/>
    <col min="7689" max="7689" width="9.85546875" style="104" customWidth="1"/>
    <col min="7690" max="7690" width="21.85546875" style="104" bestFit="1" customWidth="1"/>
    <col min="7691" max="7691" width="4.5703125" style="104" customWidth="1"/>
    <col min="7692" max="7692" width="21.140625" style="104" customWidth="1"/>
    <col min="7693" max="7693" width="19.42578125" style="104" customWidth="1"/>
    <col min="7694" max="7694" width="28.85546875" style="104" bestFit="1" customWidth="1"/>
    <col min="7695" max="7695" width="3.140625" style="104" customWidth="1"/>
    <col min="7696" max="7696" width="21.85546875" style="104" customWidth="1"/>
    <col min="7697" max="7697" width="11.42578125" style="104" customWidth="1"/>
    <col min="7698" max="7698" width="20.5703125" style="104" bestFit="1" customWidth="1"/>
    <col min="7699" max="7936" width="11.42578125" style="104"/>
    <col min="7937" max="7937" width="4.5703125" style="104" customWidth="1"/>
    <col min="7938" max="7938" width="7.85546875" style="104" customWidth="1"/>
    <col min="7939" max="7939" width="1.85546875" style="104" customWidth="1"/>
    <col min="7940" max="7940" width="56" style="104" customWidth="1"/>
    <col min="7941" max="7941" width="37.42578125" style="104" customWidth="1"/>
    <col min="7942" max="7942" width="26.140625" style="104" customWidth="1"/>
    <col min="7943" max="7943" width="20.5703125" style="104" customWidth="1"/>
    <col min="7944" max="7944" width="18.85546875" style="104" customWidth="1"/>
    <col min="7945" max="7945" width="9.85546875" style="104" customWidth="1"/>
    <col min="7946" max="7946" width="21.85546875" style="104" bestFit="1" customWidth="1"/>
    <col min="7947" max="7947" width="4.5703125" style="104" customWidth="1"/>
    <col min="7948" max="7948" width="21.140625" style="104" customWidth="1"/>
    <col min="7949" max="7949" width="19.42578125" style="104" customWidth="1"/>
    <col min="7950" max="7950" width="28.85546875" style="104" bestFit="1" customWidth="1"/>
    <col min="7951" max="7951" width="3.140625" style="104" customWidth="1"/>
    <col min="7952" max="7952" width="21.85546875" style="104" customWidth="1"/>
    <col min="7953" max="7953" width="11.42578125" style="104" customWidth="1"/>
    <col min="7954" max="7954" width="20.5703125" style="104" bestFit="1" customWidth="1"/>
    <col min="7955" max="8192" width="11.42578125" style="104"/>
    <col min="8193" max="8193" width="4.5703125" style="104" customWidth="1"/>
    <col min="8194" max="8194" width="7.85546875" style="104" customWidth="1"/>
    <col min="8195" max="8195" width="1.85546875" style="104" customWidth="1"/>
    <col min="8196" max="8196" width="56" style="104" customWidth="1"/>
    <col min="8197" max="8197" width="37.42578125" style="104" customWidth="1"/>
    <col min="8198" max="8198" width="26.140625" style="104" customWidth="1"/>
    <col min="8199" max="8199" width="20.5703125" style="104" customWidth="1"/>
    <col min="8200" max="8200" width="18.85546875" style="104" customWidth="1"/>
    <col min="8201" max="8201" width="9.85546875" style="104" customWidth="1"/>
    <col min="8202" max="8202" width="21.85546875" style="104" bestFit="1" customWidth="1"/>
    <col min="8203" max="8203" width="4.5703125" style="104" customWidth="1"/>
    <col min="8204" max="8204" width="21.140625" style="104" customWidth="1"/>
    <col min="8205" max="8205" width="19.42578125" style="104" customWidth="1"/>
    <col min="8206" max="8206" width="28.85546875" style="104" bestFit="1" customWidth="1"/>
    <col min="8207" max="8207" width="3.140625" style="104" customWidth="1"/>
    <col min="8208" max="8208" width="21.85546875" style="104" customWidth="1"/>
    <col min="8209" max="8209" width="11.42578125" style="104" customWidth="1"/>
    <col min="8210" max="8210" width="20.5703125" style="104" bestFit="1" customWidth="1"/>
    <col min="8211" max="8448" width="11.42578125" style="104"/>
    <col min="8449" max="8449" width="4.5703125" style="104" customWidth="1"/>
    <col min="8450" max="8450" width="7.85546875" style="104" customWidth="1"/>
    <col min="8451" max="8451" width="1.85546875" style="104" customWidth="1"/>
    <col min="8452" max="8452" width="56" style="104" customWidth="1"/>
    <col min="8453" max="8453" width="37.42578125" style="104" customWidth="1"/>
    <col min="8454" max="8454" width="26.140625" style="104" customWidth="1"/>
    <col min="8455" max="8455" width="20.5703125" style="104" customWidth="1"/>
    <col min="8456" max="8456" width="18.85546875" style="104" customWidth="1"/>
    <col min="8457" max="8457" width="9.85546875" style="104" customWidth="1"/>
    <col min="8458" max="8458" width="21.85546875" style="104" bestFit="1" customWidth="1"/>
    <col min="8459" max="8459" width="4.5703125" style="104" customWidth="1"/>
    <col min="8460" max="8460" width="21.140625" style="104" customWidth="1"/>
    <col min="8461" max="8461" width="19.42578125" style="104" customWidth="1"/>
    <col min="8462" max="8462" width="28.85546875" style="104" bestFit="1" customWidth="1"/>
    <col min="8463" max="8463" width="3.140625" style="104" customWidth="1"/>
    <col min="8464" max="8464" width="21.85546875" style="104" customWidth="1"/>
    <col min="8465" max="8465" width="11.42578125" style="104" customWidth="1"/>
    <col min="8466" max="8466" width="20.5703125" style="104" bestFit="1" customWidth="1"/>
    <col min="8467" max="8704" width="11.42578125" style="104"/>
    <col min="8705" max="8705" width="4.5703125" style="104" customWidth="1"/>
    <col min="8706" max="8706" width="7.85546875" style="104" customWidth="1"/>
    <col min="8707" max="8707" width="1.85546875" style="104" customWidth="1"/>
    <col min="8708" max="8708" width="56" style="104" customWidth="1"/>
    <col min="8709" max="8709" width="37.42578125" style="104" customWidth="1"/>
    <col min="8710" max="8710" width="26.140625" style="104" customWidth="1"/>
    <col min="8711" max="8711" width="20.5703125" style="104" customWidth="1"/>
    <col min="8712" max="8712" width="18.85546875" style="104" customWidth="1"/>
    <col min="8713" max="8713" width="9.85546875" style="104" customWidth="1"/>
    <col min="8714" max="8714" width="21.85546875" style="104" bestFit="1" customWidth="1"/>
    <col min="8715" max="8715" width="4.5703125" style="104" customWidth="1"/>
    <col min="8716" max="8716" width="21.140625" style="104" customWidth="1"/>
    <col min="8717" max="8717" width="19.42578125" style="104" customWidth="1"/>
    <col min="8718" max="8718" width="28.85546875" style="104" bestFit="1" customWidth="1"/>
    <col min="8719" max="8719" width="3.140625" style="104" customWidth="1"/>
    <col min="8720" max="8720" width="21.85546875" style="104" customWidth="1"/>
    <col min="8721" max="8721" width="11.42578125" style="104" customWidth="1"/>
    <col min="8722" max="8722" width="20.5703125" style="104" bestFit="1" customWidth="1"/>
    <col min="8723" max="8960" width="11.42578125" style="104"/>
    <col min="8961" max="8961" width="4.5703125" style="104" customWidth="1"/>
    <col min="8962" max="8962" width="7.85546875" style="104" customWidth="1"/>
    <col min="8963" max="8963" width="1.85546875" style="104" customWidth="1"/>
    <col min="8964" max="8964" width="56" style="104" customWidth="1"/>
    <col min="8965" max="8965" width="37.42578125" style="104" customWidth="1"/>
    <col min="8966" max="8966" width="26.140625" style="104" customWidth="1"/>
    <col min="8967" max="8967" width="20.5703125" style="104" customWidth="1"/>
    <col min="8968" max="8968" width="18.85546875" style="104" customWidth="1"/>
    <col min="8969" max="8969" width="9.85546875" style="104" customWidth="1"/>
    <col min="8970" max="8970" width="21.85546875" style="104" bestFit="1" customWidth="1"/>
    <col min="8971" max="8971" width="4.5703125" style="104" customWidth="1"/>
    <col min="8972" max="8972" width="21.140625" style="104" customWidth="1"/>
    <col min="8973" max="8973" width="19.42578125" style="104" customWidth="1"/>
    <col min="8974" max="8974" width="28.85546875" style="104" bestFit="1" customWidth="1"/>
    <col min="8975" max="8975" width="3.140625" style="104" customWidth="1"/>
    <col min="8976" max="8976" width="21.85546875" style="104" customWidth="1"/>
    <col min="8977" max="8977" width="11.42578125" style="104" customWidth="1"/>
    <col min="8978" max="8978" width="20.5703125" style="104" bestFit="1" customWidth="1"/>
    <col min="8979" max="9216" width="11.42578125" style="104"/>
    <col min="9217" max="9217" width="4.5703125" style="104" customWidth="1"/>
    <col min="9218" max="9218" width="7.85546875" style="104" customWidth="1"/>
    <col min="9219" max="9219" width="1.85546875" style="104" customWidth="1"/>
    <col min="9220" max="9220" width="56" style="104" customWidth="1"/>
    <col min="9221" max="9221" width="37.42578125" style="104" customWidth="1"/>
    <col min="9222" max="9222" width="26.140625" style="104" customWidth="1"/>
    <col min="9223" max="9223" width="20.5703125" style="104" customWidth="1"/>
    <col min="9224" max="9224" width="18.85546875" style="104" customWidth="1"/>
    <col min="9225" max="9225" width="9.85546875" style="104" customWidth="1"/>
    <col min="9226" max="9226" width="21.85546875" style="104" bestFit="1" customWidth="1"/>
    <col min="9227" max="9227" width="4.5703125" style="104" customWidth="1"/>
    <col min="9228" max="9228" width="21.140625" style="104" customWidth="1"/>
    <col min="9229" max="9229" width="19.42578125" style="104" customWidth="1"/>
    <col min="9230" max="9230" width="28.85546875" style="104" bestFit="1" customWidth="1"/>
    <col min="9231" max="9231" width="3.140625" style="104" customWidth="1"/>
    <col min="9232" max="9232" width="21.85546875" style="104" customWidth="1"/>
    <col min="9233" max="9233" width="11.42578125" style="104" customWidth="1"/>
    <col min="9234" max="9234" width="20.5703125" style="104" bestFit="1" customWidth="1"/>
    <col min="9235" max="9472" width="11.42578125" style="104"/>
    <col min="9473" max="9473" width="4.5703125" style="104" customWidth="1"/>
    <col min="9474" max="9474" width="7.85546875" style="104" customWidth="1"/>
    <col min="9475" max="9475" width="1.85546875" style="104" customWidth="1"/>
    <col min="9476" max="9476" width="56" style="104" customWidth="1"/>
    <col min="9477" max="9477" width="37.42578125" style="104" customWidth="1"/>
    <col min="9478" max="9478" width="26.140625" style="104" customWidth="1"/>
    <col min="9479" max="9479" width="20.5703125" style="104" customWidth="1"/>
    <col min="9480" max="9480" width="18.85546875" style="104" customWidth="1"/>
    <col min="9481" max="9481" width="9.85546875" style="104" customWidth="1"/>
    <col min="9482" max="9482" width="21.85546875" style="104" bestFit="1" customWidth="1"/>
    <col min="9483" max="9483" width="4.5703125" style="104" customWidth="1"/>
    <col min="9484" max="9484" width="21.140625" style="104" customWidth="1"/>
    <col min="9485" max="9485" width="19.42578125" style="104" customWidth="1"/>
    <col min="9486" max="9486" width="28.85546875" style="104" bestFit="1" customWidth="1"/>
    <col min="9487" max="9487" width="3.140625" style="104" customWidth="1"/>
    <col min="9488" max="9488" width="21.85546875" style="104" customWidth="1"/>
    <col min="9489" max="9489" width="11.42578125" style="104" customWidth="1"/>
    <col min="9490" max="9490" width="20.5703125" style="104" bestFit="1" customWidth="1"/>
    <col min="9491" max="9728" width="11.42578125" style="104"/>
    <col min="9729" max="9729" width="4.5703125" style="104" customWidth="1"/>
    <col min="9730" max="9730" width="7.85546875" style="104" customWidth="1"/>
    <col min="9731" max="9731" width="1.85546875" style="104" customWidth="1"/>
    <col min="9732" max="9732" width="56" style="104" customWidth="1"/>
    <col min="9733" max="9733" width="37.42578125" style="104" customWidth="1"/>
    <col min="9734" max="9734" width="26.140625" style="104" customWidth="1"/>
    <col min="9735" max="9735" width="20.5703125" style="104" customWidth="1"/>
    <col min="9736" max="9736" width="18.85546875" style="104" customWidth="1"/>
    <col min="9737" max="9737" width="9.85546875" style="104" customWidth="1"/>
    <col min="9738" max="9738" width="21.85546875" style="104" bestFit="1" customWidth="1"/>
    <col min="9739" max="9739" width="4.5703125" style="104" customWidth="1"/>
    <col min="9740" max="9740" width="21.140625" style="104" customWidth="1"/>
    <col min="9741" max="9741" width="19.42578125" style="104" customWidth="1"/>
    <col min="9742" max="9742" width="28.85546875" style="104" bestFit="1" customWidth="1"/>
    <col min="9743" max="9743" width="3.140625" style="104" customWidth="1"/>
    <col min="9744" max="9744" width="21.85546875" style="104" customWidth="1"/>
    <col min="9745" max="9745" width="11.42578125" style="104" customWidth="1"/>
    <col min="9746" max="9746" width="20.5703125" style="104" bestFit="1" customWidth="1"/>
    <col min="9747" max="9984" width="11.42578125" style="104"/>
    <col min="9985" max="9985" width="4.5703125" style="104" customWidth="1"/>
    <col min="9986" max="9986" width="7.85546875" style="104" customWidth="1"/>
    <col min="9987" max="9987" width="1.85546875" style="104" customWidth="1"/>
    <col min="9988" max="9988" width="56" style="104" customWidth="1"/>
    <col min="9989" max="9989" width="37.42578125" style="104" customWidth="1"/>
    <col min="9990" max="9990" width="26.140625" style="104" customWidth="1"/>
    <col min="9991" max="9991" width="20.5703125" style="104" customWidth="1"/>
    <col min="9992" max="9992" width="18.85546875" style="104" customWidth="1"/>
    <col min="9993" max="9993" width="9.85546875" style="104" customWidth="1"/>
    <col min="9994" max="9994" width="21.85546875" style="104" bestFit="1" customWidth="1"/>
    <col min="9995" max="9995" width="4.5703125" style="104" customWidth="1"/>
    <col min="9996" max="9996" width="21.140625" style="104" customWidth="1"/>
    <col min="9997" max="9997" width="19.42578125" style="104" customWidth="1"/>
    <col min="9998" max="9998" width="28.85546875" style="104" bestFit="1" customWidth="1"/>
    <col min="9999" max="9999" width="3.140625" style="104" customWidth="1"/>
    <col min="10000" max="10000" width="21.85546875" style="104" customWidth="1"/>
    <col min="10001" max="10001" width="11.42578125" style="104" customWidth="1"/>
    <col min="10002" max="10002" width="20.5703125" style="104" bestFit="1" customWidth="1"/>
    <col min="10003" max="10240" width="11.42578125" style="104"/>
    <col min="10241" max="10241" width="4.5703125" style="104" customWidth="1"/>
    <col min="10242" max="10242" width="7.85546875" style="104" customWidth="1"/>
    <col min="10243" max="10243" width="1.85546875" style="104" customWidth="1"/>
    <col min="10244" max="10244" width="56" style="104" customWidth="1"/>
    <col min="10245" max="10245" width="37.42578125" style="104" customWidth="1"/>
    <col min="10246" max="10246" width="26.140625" style="104" customWidth="1"/>
    <col min="10247" max="10247" width="20.5703125" style="104" customWidth="1"/>
    <col min="10248" max="10248" width="18.85546875" style="104" customWidth="1"/>
    <col min="10249" max="10249" width="9.85546875" style="104" customWidth="1"/>
    <col min="10250" max="10250" width="21.85546875" style="104" bestFit="1" customWidth="1"/>
    <col min="10251" max="10251" width="4.5703125" style="104" customWidth="1"/>
    <col min="10252" max="10252" width="21.140625" style="104" customWidth="1"/>
    <col min="10253" max="10253" width="19.42578125" style="104" customWidth="1"/>
    <col min="10254" max="10254" width="28.85546875" style="104" bestFit="1" customWidth="1"/>
    <col min="10255" max="10255" width="3.140625" style="104" customWidth="1"/>
    <col min="10256" max="10256" width="21.85546875" style="104" customWidth="1"/>
    <col min="10257" max="10257" width="11.42578125" style="104" customWidth="1"/>
    <col min="10258" max="10258" width="20.5703125" style="104" bestFit="1" customWidth="1"/>
    <col min="10259" max="10496" width="11.42578125" style="104"/>
    <col min="10497" max="10497" width="4.5703125" style="104" customWidth="1"/>
    <col min="10498" max="10498" width="7.85546875" style="104" customWidth="1"/>
    <col min="10499" max="10499" width="1.85546875" style="104" customWidth="1"/>
    <col min="10500" max="10500" width="56" style="104" customWidth="1"/>
    <col min="10501" max="10501" width="37.42578125" style="104" customWidth="1"/>
    <col min="10502" max="10502" width="26.140625" style="104" customWidth="1"/>
    <col min="10503" max="10503" width="20.5703125" style="104" customWidth="1"/>
    <col min="10504" max="10504" width="18.85546875" style="104" customWidth="1"/>
    <col min="10505" max="10505" width="9.85546875" style="104" customWidth="1"/>
    <col min="10506" max="10506" width="21.85546875" style="104" bestFit="1" customWidth="1"/>
    <col min="10507" max="10507" width="4.5703125" style="104" customWidth="1"/>
    <col min="10508" max="10508" width="21.140625" style="104" customWidth="1"/>
    <col min="10509" max="10509" width="19.42578125" style="104" customWidth="1"/>
    <col min="10510" max="10510" width="28.85546875" style="104" bestFit="1" customWidth="1"/>
    <col min="10511" max="10511" width="3.140625" style="104" customWidth="1"/>
    <col min="10512" max="10512" width="21.85546875" style="104" customWidth="1"/>
    <col min="10513" max="10513" width="11.42578125" style="104" customWidth="1"/>
    <col min="10514" max="10514" width="20.5703125" style="104" bestFit="1" customWidth="1"/>
    <col min="10515" max="10752" width="11.42578125" style="104"/>
    <col min="10753" max="10753" width="4.5703125" style="104" customWidth="1"/>
    <col min="10754" max="10754" width="7.85546875" style="104" customWidth="1"/>
    <col min="10755" max="10755" width="1.85546875" style="104" customWidth="1"/>
    <col min="10756" max="10756" width="56" style="104" customWidth="1"/>
    <col min="10757" max="10757" width="37.42578125" style="104" customWidth="1"/>
    <col min="10758" max="10758" width="26.140625" style="104" customWidth="1"/>
    <col min="10759" max="10759" width="20.5703125" style="104" customWidth="1"/>
    <col min="10760" max="10760" width="18.85546875" style="104" customWidth="1"/>
    <col min="10761" max="10761" width="9.85546875" style="104" customWidth="1"/>
    <col min="10762" max="10762" width="21.85546875" style="104" bestFit="1" customWidth="1"/>
    <col min="10763" max="10763" width="4.5703125" style="104" customWidth="1"/>
    <col min="10764" max="10764" width="21.140625" style="104" customWidth="1"/>
    <col min="10765" max="10765" width="19.42578125" style="104" customWidth="1"/>
    <col min="10766" max="10766" width="28.85546875" style="104" bestFit="1" customWidth="1"/>
    <col min="10767" max="10767" width="3.140625" style="104" customWidth="1"/>
    <col min="10768" max="10768" width="21.85546875" style="104" customWidth="1"/>
    <col min="10769" max="10769" width="11.42578125" style="104" customWidth="1"/>
    <col min="10770" max="10770" width="20.5703125" style="104" bestFit="1" customWidth="1"/>
    <col min="10771" max="11008" width="11.42578125" style="104"/>
    <col min="11009" max="11009" width="4.5703125" style="104" customWidth="1"/>
    <col min="11010" max="11010" width="7.85546875" style="104" customWidth="1"/>
    <col min="11011" max="11011" width="1.85546875" style="104" customWidth="1"/>
    <col min="11012" max="11012" width="56" style="104" customWidth="1"/>
    <col min="11013" max="11013" width="37.42578125" style="104" customWidth="1"/>
    <col min="11014" max="11014" width="26.140625" style="104" customWidth="1"/>
    <col min="11015" max="11015" width="20.5703125" style="104" customWidth="1"/>
    <col min="11016" max="11016" width="18.85546875" style="104" customWidth="1"/>
    <col min="11017" max="11017" width="9.85546875" style="104" customWidth="1"/>
    <col min="11018" max="11018" width="21.85546875" style="104" bestFit="1" customWidth="1"/>
    <col min="11019" max="11019" width="4.5703125" style="104" customWidth="1"/>
    <col min="11020" max="11020" width="21.140625" style="104" customWidth="1"/>
    <col min="11021" max="11021" width="19.42578125" style="104" customWidth="1"/>
    <col min="11022" max="11022" width="28.85546875" style="104" bestFit="1" customWidth="1"/>
    <col min="11023" max="11023" width="3.140625" style="104" customWidth="1"/>
    <col min="11024" max="11024" width="21.85546875" style="104" customWidth="1"/>
    <col min="11025" max="11025" width="11.42578125" style="104" customWidth="1"/>
    <col min="11026" max="11026" width="20.5703125" style="104" bestFit="1" customWidth="1"/>
    <col min="11027" max="11264" width="11.42578125" style="104"/>
    <col min="11265" max="11265" width="4.5703125" style="104" customWidth="1"/>
    <col min="11266" max="11266" width="7.85546875" style="104" customWidth="1"/>
    <col min="11267" max="11267" width="1.85546875" style="104" customWidth="1"/>
    <col min="11268" max="11268" width="56" style="104" customWidth="1"/>
    <col min="11269" max="11269" width="37.42578125" style="104" customWidth="1"/>
    <col min="11270" max="11270" width="26.140625" style="104" customWidth="1"/>
    <col min="11271" max="11271" width="20.5703125" style="104" customWidth="1"/>
    <col min="11272" max="11272" width="18.85546875" style="104" customWidth="1"/>
    <col min="11273" max="11273" width="9.85546875" style="104" customWidth="1"/>
    <col min="11274" max="11274" width="21.85546875" style="104" bestFit="1" customWidth="1"/>
    <col min="11275" max="11275" width="4.5703125" style="104" customWidth="1"/>
    <col min="11276" max="11276" width="21.140625" style="104" customWidth="1"/>
    <col min="11277" max="11277" width="19.42578125" style="104" customWidth="1"/>
    <col min="11278" max="11278" width="28.85546875" style="104" bestFit="1" customWidth="1"/>
    <col min="11279" max="11279" width="3.140625" style="104" customWidth="1"/>
    <col min="11280" max="11280" width="21.85546875" style="104" customWidth="1"/>
    <col min="11281" max="11281" width="11.42578125" style="104" customWidth="1"/>
    <col min="11282" max="11282" width="20.5703125" style="104" bestFit="1" customWidth="1"/>
    <col min="11283" max="11520" width="11.42578125" style="104"/>
    <col min="11521" max="11521" width="4.5703125" style="104" customWidth="1"/>
    <col min="11522" max="11522" width="7.85546875" style="104" customWidth="1"/>
    <col min="11523" max="11523" width="1.85546875" style="104" customWidth="1"/>
    <col min="11524" max="11524" width="56" style="104" customWidth="1"/>
    <col min="11525" max="11525" width="37.42578125" style="104" customWidth="1"/>
    <col min="11526" max="11526" width="26.140625" style="104" customWidth="1"/>
    <col min="11527" max="11527" width="20.5703125" style="104" customWidth="1"/>
    <col min="11528" max="11528" width="18.85546875" style="104" customWidth="1"/>
    <col min="11529" max="11529" width="9.85546875" style="104" customWidth="1"/>
    <col min="11530" max="11530" width="21.85546875" style="104" bestFit="1" customWidth="1"/>
    <col min="11531" max="11531" width="4.5703125" style="104" customWidth="1"/>
    <col min="11532" max="11532" width="21.140625" style="104" customWidth="1"/>
    <col min="11533" max="11533" width="19.42578125" style="104" customWidth="1"/>
    <col min="11534" max="11534" width="28.85546875" style="104" bestFit="1" customWidth="1"/>
    <col min="11535" max="11535" width="3.140625" style="104" customWidth="1"/>
    <col min="11536" max="11536" width="21.85546875" style="104" customWidth="1"/>
    <col min="11537" max="11537" width="11.42578125" style="104" customWidth="1"/>
    <col min="11538" max="11538" width="20.5703125" style="104" bestFit="1" customWidth="1"/>
    <col min="11539" max="11776" width="11.42578125" style="104"/>
    <col min="11777" max="11777" width="4.5703125" style="104" customWidth="1"/>
    <col min="11778" max="11778" width="7.85546875" style="104" customWidth="1"/>
    <col min="11779" max="11779" width="1.85546875" style="104" customWidth="1"/>
    <col min="11780" max="11780" width="56" style="104" customWidth="1"/>
    <col min="11781" max="11781" width="37.42578125" style="104" customWidth="1"/>
    <col min="11782" max="11782" width="26.140625" style="104" customWidth="1"/>
    <col min="11783" max="11783" width="20.5703125" style="104" customWidth="1"/>
    <col min="11784" max="11784" width="18.85546875" style="104" customWidth="1"/>
    <col min="11785" max="11785" width="9.85546875" style="104" customWidth="1"/>
    <col min="11786" max="11786" width="21.85546875" style="104" bestFit="1" customWidth="1"/>
    <col min="11787" max="11787" width="4.5703125" style="104" customWidth="1"/>
    <col min="11788" max="11788" width="21.140625" style="104" customWidth="1"/>
    <col min="11789" max="11789" width="19.42578125" style="104" customWidth="1"/>
    <col min="11790" max="11790" width="28.85546875" style="104" bestFit="1" customWidth="1"/>
    <col min="11791" max="11791" width="3.140625" style="104" customWidth="1"/>
    <col min="11792" max="11792" width="21.85546875" style="104" customWidth="1"/>
    <col min="11793" max="11793" width="11.42578125" style="104" customWidth="1"/>
    <col min="11794" max="11794" width="20.5703125" style="104" bestFit="1" customWidth="1"/>
    <col min="11795" max="12032" width="11.42578125" style="104"/>
    <col min="12033" max="12033" width="4.5703125" style="104" customWidth="1"/>
    <col min="12034" max="12034" width="7.85546875" style="104" customWidth="1"/>
    <col min="12035" max="12035" width="1.85546875" style="104" customWidth="1"/>
    <col min="12036" max="12036" width="56" style="104" customWidth="1"/>
    <col min="12037" max="12037" width="37.42578125" style="104" customWidth="1"/>
    <col min="12038" max="12038" width="26.140625" style="104" customWidth="1"/>
    <col min="12039" max="12039" width="20.5703125" style="104" customWidth="1"/>
    <col min="12040" max="12040" width="18.85546875" style="104" customWidth="1"/>
    <col min="12041" max="12041" width="9.85546875" style="104" customWidth="1"/>
    <col min="12042" max="12042" width="21.85546875" style="104" bestFit="1" customWidth="1"/>
    <col min="12043" max="12043" width="4.5703125" style="104" customWidth="1"/>
    <col min="12044" max="12044" width="21.140625" style="104" customWidth="1"/>
    <col min="12045" max="12045" width="19.42578125" style="104" customWidth="1"/>
    <col min="12046" max="12046" width="28.85546875" style="104" bestFit="1" customWidth="1"/>
    <col min="12047" max="12047" width="3.140625" style="104" customWidth="1"/>
    <col min="12048" max="12048" width="21.85546875" style="104" customWidth="1"/>
    <col min="12049" max="12049" width="11.42578125" style="104" customWidth="1"/>
    <col min="12050" max="12050" width="20.5703125" style="104" bestFit="1" customWidth="1"/>
    <col min="12051" max="12288" width="11.42578125" style="104"/>
    <col min="12289" max="12289" width="4.5703125" style="104" customWidth="1"/>
    <col min="12290" max="12290" width="7.85546875" style="104" customWidth="1"/>
    <col min="12291" max="12291" width="1.85546875" style="104" customWidth="1"/>
    <col min="12292" max="12292" width="56" style="104" customWidth="1"/>
    <col min="12293" max="12293" width="37.42578125" style="104" customWidth="1"/>
    <col min="12294" max="12294" width="26.140625" style="104" customWidth="1"/>
    <col min="12295" max="12295" width="20.5703125" style="104" customWidth="1"/>
    <col min="12296" max="12296" width="18.85546875" style="104" customWidth="1"/>
    <col min="12297" max="12297" width="9.85546875" style="104" customWidth="1"/>
    <col min="12298" max="12298" width="21.85546875" style="104" bestFit="1" customWidth="1"/>
    <col min="12299" max="12299" width="4.5703125" style="104" customWidth="1"/>
    <col min="12300" max="12300" width="21.140625" style="104" customWidth="1"/>
    <col min="12301" max="12301" width="19.42578125" style="104" customWidth="1"/>
    <col min="12302" max="12302" width="28.85546875" style="104" bestFit="1" customWidth="1"/>
    <col min="12303" max="12303" width="3.140625" style="104" customWidth="1"/>
    <col min="12304" max="12304" width="21.85546875" style="104" customWidth="1"/>
    <col min="12305" max="12305" width="11.42578125" style="104" customWidth="1"/>
    <col min="12306" max="12306" width="20.5703125" style="104" bestFit="1" customWidth="1"/>
    <col min="12307" max="12544" width="11.42578125" style="104"/>
    <col min="12545" max="12545" width="4.5703125" style="104" customWidth="1"/>
    <col min="12546" max="12546" width="7.85546875" style="104" customWidth="1"/>
    <col min="12547" max="12547" width="1.85546875" style="104" customWidth="1"/>
    <col min="12548" max="12548" width="56" style="104" customWidth="1"/>
    <col min="12549" max="12549" width="37.42578125" style="104" customWidth="1"/>
    <col min="12550" max="12550" width="26.140625" style="104" customWidth="1"/>
    <col min="12551" max="12551" width="20.5703125" style="104" customWidth="1"/>
    <col min="12552" max="12552" width="18.85546875" style="104" customWidth="1"/>
    <col min="12553" max="12553" width="9.85546875" style="104" customWidth="1"/>
    <col min="12554" max="12554" width="21.85546875" style="104" bestFit="1" customWidth="1"/>
    <col min="12555" max="12555" width="4.5703125" style="104" customWidth="1"/>
    <col min="12556" max="12556" width="21.140625" style="104" customWidth="1"/>
    <col min="12557" max="12557" width="19.42578125" style="104" customWidth="1"/>
    <col min="12558" max="12558" width="28.85546875" style="104" bestFit="1" customWidth="1"/>
    <col min="12559" max="12559" width="3.140625" style="104" customWidth="1"/>
    <col min="12560" max="12560" width="21.85546875" style="104" customWidth="1"/>
    <col min="12561" max="12561" width="11.42578125" style="104" customWidth="1"/>
    <col min="12562" max="12562" width="20.5703125" style="104" bestFit="1" customWidth="1"/>
    <col min="12563" max="12800" width="11.42578125" style="104"/>
    <col min="12801" max="12801" width="4.5703125" style="104" customWidth="1"/>
    <col min="12802" max="12802" width="7.85546875" style="104" customWidth="1"/>
    <col min="12803" max="12803" width="1.85546875" style="104" customWidth="1"/>
    <col min="12804" max="12804" width="56" style="104" customWidth="1"/>
    <col min="12805" max="12805" width="37.42578125" style="104" customWidth="1"/>
    <col min="12806" max="12806" width="26.140625" style="104" customWidth="1"/>
    <col min="12807" max="12807" width="20.5703125" style="104" customWidth="1"/>
    <col min="12808" max="12808" width="18.85546875" style="104" customWidth="1"/>
    <col min="12809" max="12809" width="9.85546875" style="104" customWidth="1"/>
    <col min="12810" max="12810" width="21.85546875" style="104" bestFit="1" customWidth="1"/>
    <col min="12811" max="12811" width="4.5703125" style="104" customWidth="1"/>
    <col min="12812" max="12812" width="21.140625" style="104" customWidth="1"/>
    <col min="12813" max="12813" width="19.42578125" style="104" customWidth="1"/>
    <col min="12814" max="12814" width="28.85546875" style="104" bestFit="1" customWidth="1"/>
    <col min="12815" max="12815" width="3.140625" style="104" customWidth="1"/>
    <col min="12816" max="12816" width="21.85546875" style="104" customWidth="1"/>
    <col min="12817" max="12817" width="11.42578125" style="104" customWidth="1"/>
    <col min="12818" max="12818" width="20.5703125" style="104" bestFit="1" customWidth="1"/>
    <col min="12819" max="13056" width="11.42578125" style="104"/>
    <col min="13057" max="13057" width="4.5703125" style="104" customWidth="1"/>
    <col min="13058" max="13058" width="7.85546875" style="104" customWidth="1"/>
    <col min="13059" max="13059" width="1.85546875" style="104" customWidth="1"/>
    <col min="13060" max="13060" width="56" style="104" customWidth="1"/>
    <col min="13061" max="13061" width="37.42578125" style="104" customWidth="1"/>
    <col min="13062" max="13062" width="26.140625" style="104" customWidth="1"/>
    <col min="13063" max="13063" width="20.5703125" style="104" customWidth="1"/>
    <col min="13064" max="13064" width="18.85546875" style="104" customWidth="1"/>
    <col min="13065" max="13065" width="9.85546875" style="104" customWidth="1"/>
    <col min="13066" max="13066" width="21.85546875" style="104" bestFit="1" customWidth="1"/>
    <col min="13067" max="13067" width="4.5703125" style="104" customWidth="1"/>
    <col min="13068" max="13068" width="21.140625" style="104" customWidth="1"/>
    <col min="13069" max="13069" width="19.42578125" style="104" customWidth="1"/>
    <col min="13070" max="13070" width="28.85546875" style="104" bestFit="1" customWidth="1"/>
    <col min="13071" max="13071" width="3.140625" style="104" customWidth="1"/>
    <col min="13072" max="13072" width="21.85546875" style="104" customWidth="1"/>
    <col min="13073" max="13073" width="11.42578125" style="104" customWidth="1"/>
    <col min="13074" max="13074" width="20.5703125" style="104" bestFit="1" customWidth="1"/>
    <col min="13075" max="13312" width="11.42578125" style="104"/>
    <col min="13313" max="13313" width="4.5703125" style="104" customWidth="1"/>
    <col min="13314" max="13314" width="7.85546875" style="104" customWidth="1"/>
    <col min="13315" max="13315" width="1.85546875" style="104" customWidth="1"/>
    <col min="13316" max="13316" width="56" style="104" customWidth="1"/>
    <col min="13317" max="13317" width="37.42578125" style="104" customWidth="1"/>
    <col min="13318" max="13318" width="26.140625" style="104" customWidth="1"/>
    <col min="13319" max="13319" width="20.5703125" style="104" customWidth="1"/>
    <col min="13320" max="13320" width="18.85546875" style="104" customWidth="1"/>
    <col min="13321" max="13321" width="9.85546875" style="104" customWidth="1"/>
    <col min="13322" max="13322" width="21.85546875" style="104" bestFit="1" customWidth="1"/>
    <col min="13323" max="13323" width="4.5703125" style="104" customWidth="1"/>
    <col min="13324" max="13324" width="21.140625" style="104" customWidth="1"/>
    <col min="13325" max="13325" width="19.42578125" style="104" customWidth="1"/>
    <col min="13326" max="13326" width="28.85546875" style="104" bestFit="1" customWidth="1"/>
    <col min="13327" max="13327" width="3.140625" style="104" customWidth="1"/>
    <col min="13328" max="13328" width="21.85546875" style="104" customWidth="1"/>
    <col min="13329" max="13329" width="11.42578125" style="104" customWidth="1"/>
    <col min="13330" max="13330" width="20.5703125" style="104" bestFit="1" customWidth="1"/>
    <col min="13331" max="13568" width="11.42578125" style="104"/>
    <col min="13569" max="13569" width="4.5703125" style="104" customWidth="1"/>
    <col min="13570" max="13570" width="7.85546875" style="104" customWidth="1"/>
    <col min="13571" max="13571" width="1.85546875" style="104" customWidth="1"/>
    <col min="13572" max="13572" width="56" style="104" customWidth="1"/>
    <col min="13573" max="13573" width="37.42578125" style="104" customWidth="1"/>
    <col min="13574" max="13574" width="26.140625" style="104" customWidth="1"/>
    <col min="13575" max="13575" width="20.5703125" style="104" customWidth="1"/>
    <col min="13576" max="13576" width="18.85546875" style="104" customWidth="1"/>
    <col min="13577" max="13577" width="9.85546875" style="104" customWidth="1"/>
    <col min="13578" max="13578" width="21.85546875" style="104" bestFit="1" customWidth="1"/>
    <col min="13579" max="13579" width="4.5703125" style="104" customWidth="1"/>
    <col min="13580" max="13580" width="21.140625" style="104" customWidth="1"/>
    <col min="13581" max="13581" width="19.42578125" style="104" customWidth="1"/>
    <col min="13582" max="13582" width="28.85546875" style="104" bestFit="1" customWidth="1"/>
    <col min="13583" max="13583" width="3.140625" style="104" customWidth="1"/>
    <col min="13584" max="13584" width="21.85546875" style="104" customWidth="1"/>
    <col min="13585" max="13585" width="11.42578125" style="104" customWidth="1"/>
    <col min="13586" max="13586" width="20.5703125" style="104" bestFit="1" customWidth="1"/>
    <col min="13587" max="13824" width="11.42578125" style="104"/>
    <col min="13825" max="13825" width="4.5703125" style="104" customWidth="1"/>
    <col min="13826" max="13826" width="7.85546875" style="104" customWidth="1"/>
    <col min="13827" max="13827" width="1.85546875" style="104" customWidth="1"/>
    <col min="13828" max="13828" width="56" style="104" customWidth="1"/>
    <col min="13829" max="13829" width="37.42578125" style="104" customWidth="1"/>
    <col min="13830" max="13830" width="26.140625" style="104" customWidth="1"/>
    <col min="13831" max="13831" width="20.5703125" style="104" customWidth="1"/>
    <col min="13832" max="13832" width="18.85546875" style="104" customWidth="1"/>
    <col min="13833" max="13833" width="9.85546875" style="104" customWidth="1"/>
    <col min="13834" max="13834" width="21.85546875" style="104" bestFit="1" customWidth="1"/>
    <col min="13835" max="13835" width="4.5703125" style="104" customWidth="1"/>
    <col min="13836" max="13836" width="21.140625" style="104" customWidth="1"/>
    <col min="13837" max="13837" width="19.42578125" style="104" customWidth="1"/>
    <col min="13838" max="13838" width="28.85546875" style="104" bestFit="1" customWidth="1"/>
    <col min="13839" max="13839" width="3.140625" style="104" customWidth="1"/>
    <col min="13840" max="13840" width="21.85546875" style="104" customWidth="1"/>
    <col min="13841" max="13841" width="11.42578125" style="104" customWidth="1"/>
    <col min="13842" max="13842" width="20.5703125" style="104" bestFit="1" customWidth="1"/>
    <col min="13843" max="14080" width="11.42578125" style="104"/>
    <col min="14081" max="14081" width="4.5703125" style="104" customWidth="1"/>
    <col min="14082" max="14082" width="7.85546875" style="104" customWidth="1"/>
    <col min="14083" max="14083" width="1.85546875" style="104" customWidth="1"/>
    <col min="14084" max="14084" width="56" style="104" customWidth="1"/>
    <col min="14085" max="14085" width="37.42578125" style="104" customWidth="1"/>
    <col min="14086" max="14086" width="26.140625" style="104" customWidth="1"/>
    <col min="14087" max="14087" width="20.5703125" style="104" customWidth="1"/>
    <col min="14088" max="14088" width="18.85546875" style="104" customWidth="1"/>
    <col min="14089" max="14089" width="9.85546875" style="104" customWidth="1"/>
    <col min="14090" max="14090" width="21.85546875" style="104" bestFit="1" customWidth="1"/>
    <col min="14091" max="14091" width="4.5703125" style="104" customWidth="1"/>
    <col min="14092" max="14092" width="21.140625" style="104" customWidth="1"/>
    <col min="14093" max="14093" width="19.42578125" style="104" customWidth="1"/>
    <col min="14094" max="14094" width="28.85546875" style="104" bestFit="1" customWidth="1"/>
    <col min="14095" max="14095" width="3.140625" style="104" customWidth="1"/>
    <col min="14096" max="14096" width="21.85546875" style="104" customWidth="1"/>
    <col min="14097" max="14097" width="11.42578125" style="104" customWidth="1"/>
    <col min="14098" max="14098" width="20.5703125" style="104" bestFit="1" customWidth="1"/>
    <col min="14099" max="14336" width="11.42578125" style="104"/>
    <col min="14337" max="14337" width="4.5703125" style="104" customWidth="1"/>
    <col min="14338" max="14338" width="7.85546875" style="104" customWidth="1"/>
    <col min="14339" max="14339" width="1.85546875" style="104" customWidth="1"/>
    <col min="14340" max="14340" width="56" style="104" customWidth="1"/>
    <col min="14341" max="14341" width="37.42578125" style="104" customWidth="1"/>
    <col min="14342" max="14342" width="26.140625" style="104" customWidth="1"/>
    <col min="14343" max="14343" width="20.5703125" style="104" customWidth="1"/>
    <col min="14344" max="14344" width="18.85546875" style="104" customWidth="1"/>
    <col min="14345" max="14345" width="9.85546875" style="104" customWidth="1"/>
    <col min="14346" max="14346" width="21.85546875" style="104" bestFit="1" customWidth="1"/>
    <col min="14347" max="14347" width="4.5703125" style="104" customWidth="1"/>
    <col min="14348" max="14348" width="21.140625" style="104" customWidth="1"/>
    <col min="14349" max="14349" width="19.42578125" style="104" customWidth="1"/>
    <col min="14350" max="14350" width="28.85546875" style="104" bestFit="1" customWidth="1"/>
    <col min="14351" max="14351" width="3.140625" style="104" customWidth="1"/>
    <col min="14352" max="14352" width="21.85546875" style="104" customWidth="1"/>
    <col min="14353" max="14353" width="11.42578125" style="104" customWidth="1"/>
    <col min="14354" max="14354" width="20.5703125" style="104" bestFit="1" customWidth="1"/>
    <col min="14355" max="14592" width="11.42578125" style="104"/>
    <col min="14593" max="14593" width="4.5703125" style="104" customWidth="1"/>
    <col min="14594" max="14594" width="7.85546875" style="104" customWidth="1"/>
    <col min="14595" max="14595" width="1.85546875" style="104" customWidth="1"/>
    <col min="14596" max="14596" width="56" style="104" customWidth="1"/>
    <col min="14597" max="14597" width="37.42578125" style="104" customWidth="1"/>
    <col min="14598" max="14598" width="26.140625" style="104" customWidth="1"/>
    <col min="14599" max="14599" width="20.5703125" style="104" customWidth="1"/>
    <col min="14600" max="14600" width="18.85546875" style="104" customWidth="1"/>
    <col min="14601" max="14601" width="9.85546875" style="104" customWidth="1"/>
    <col min="14602" max="14602" width="21.85546875" style="104" bestFit="1" customWidth="1"/>
    <col min="14603" max="14603" width="4.5703125" style="104" customWidth="1"/>
    <col min="14604" max="14604" width="21.140625" style="104" customWidth="1"/>
    <col min="14605" max="14605" width="19.42578125" style="104" customWidth="1"/>
    <col min="14606" max="14606" width="28.85546875" style="104" bestFit="1" customWidth="1"/>
    <col min="14607" max="14607" width="3.140625" style="104" customWidth="1"/>
    <col min="14608" max="14608" width="21.85546875" style="104" customWidth="1"/>
    <col min="14609" max="14609" width="11.42578125" style="104" customWidth="1"/>
    <col min="14610" max="14610" width="20.5703125" style="104" bestFit="1" customWidth="1"/>
    <col min="14611" max="14848" width="11.42578125" style="104"/>
    <col min="14849" max="14849" width="4.5703125" style="104" customWidth="1"/>
    <col min="14850" max="14850" width="7.85546875" style="104" customWidth="1"/>
    <col min="14851" max="14851" width="1.85546875" style="104" customWidth="1"/>
    <col min="14852" max="14852" width="56" style="104" customWidth="1"/>
    <col min="14853" max="14853" width="37.42578125" style="104" customWidth="1"/>
    <col min="14854" max="14854" width="26.140625" style="104" customWidth="1"/>
    <col min="14855" max="14855" width="20.5703125" style="104" customWidth="1"/>
    <col min="14856" max="14856" width="18.85546875" style="104" customWidth="1"/>
    <col min="14857" max="14857" width="9.85546875" style="104" customWidth="1"/>
    <col min="14858" max="14858" width="21.85546875" style="104" bestFit="1" customWidth="1"/>
    <col min="14859" max="14859" width="4.5703125" style="104" customWidth="1"/>
    <col min="14860" max="14860" width="21.140625" style="104" customWidth="1"/>
    <col min="14861" max="14861" width="19.42578125" style="104" customWidth="1"/>
    <col min="14862" max="14862" width="28.85546875" style="104" bestFit="1" customWidth="1"/>
    <col min="14863" max="14863" width="3.140625" style="104" customWidth="1"/>
    <col min="14864" max="14864" width="21.85546875" style="104" customWidth="1"/>
    <col min="14865" max="14865" width="11.42578125" style="104" customWidth="1"/>
    <col min="14866" max="14866" width="20.5703125" style="104" bestFit="1" customWidth="1"/>
    <col min="14867" max="15104" width="11.42578125" style="104"/>
    <col min="15105" max="15105" width="4.5703125" style="104" customWidth="1"/>
    <col min="15106" max="15106" width="7.85546875" style="104" customWidth="1"/>
    <col min="15107" max="15107" width="1.85546875" style="104" customWidth="1"/>
    <col min="15108" max="15108" width="56" style="104" customWidth="1"/>
    <col min="15109" max="15109" width="37.42578125" style="104" customWidth="1"/>
    <col min="15110" max="15110" width="26.140625" style="104" customWidth="1"/>
    <col min="15111" max="15111" width="20.5703125" style="104" customWidth="1"/>
    <col min="15112" max="15112" width="18.85546875" style="104" customWidth="1"/>
    <col min="15113" max="15113" width="9.85546875" style="104" customWidth="1"/>
    <col min="15114" max="15114" width="21.85546875" style="104" bestFit="1" customWidth="1"/>
    <col min="15115" max="15115" width="4.5703125" style="104" customWidth="1"/>
    <col min="15116" max="15116" width="21.140625" style="104" customWidth="1"/>
    <col min="15117" max="15117" width="19.42578125" style="104" customWidth="1"/>
    <col min="15118" max="15118" width="28.85546875" style="104" bestFit="1" customWidth="1"/>
    <col min="15119" max="15119" width="3.140625" style="104" customWidth="1"/>
    <col min="15120" max="15120" width="21.85546875" style="104" customWidth="1"/>
    <col min="15121" max="15121" width="11.42578125" style="104" customWidth="1"/>
    <col min="15122" max="15122" width="20.5703125" style="104" bestFit="1" customWidth="1"/>
    <col min="15123" max="15360" width="11.42578125" style="104"/>
    <col min="15361" max="15361" width="4.5703125" style="104" customWidth="1"/>
    <col min="15362" max="15362" width="7.85546875" style="104" customWidth="1"/>
    <col min="15363" max="15363" width="1.85546875" style="104" customWidth="1"/>
    <col min="15364" max="15364" width="56" style="104" customWidth="1"/>
    <col min="15365" max="15365" width="37.42578125" style="104" customWidth="1"/>
    <col min="15366" max="15366" width="26.140625" style="104" customWidth="1"/>
    <col min="15367" max="15367" width="20.5703125" style="104" customWidth="1"/>
    <col min="15368" max="15368" width="18.85546875" style="104" customWidth="1"/>
    <col min="15369" max="15369" width="9.85546875" style="104" customWidth="1"/>
    <col min="15370" max="15370" width="21.85546875" style="104" bestFit="1" customWidth="1"/>
    <col min="15371" max="15371" width="4.5703125" style="104" customWidth="1"/>
    <col min="15372" max="15372" width="21.140625" style="104" customWidth="1"/>
    <col min="15373" max="15373" width="19.42578125" style="104" customWidth="1"/>
    <col min="15374" max="15374" width="28.85546875" style="104" bestFit="1" customWidth="1"/>
    <col min="15375" max="15375" width="3.140625" style="104" customWidth="1"/>
    <col min="15376" max="15376" width="21.85546875" style="104" customWidth="1"/>
    <col min="15377" max="15377" width="11.42578125" style="104" customWidth="1"/>
    <col min="15378" max="15378" width="20.5703125" style="104" bestFit="1" customWidth="1"/>
    <col min="15379" max="15616" width="11.42578125" style="104"/>
    <col min="15617" max="15617" width="4.5703125" style="104" customWidth="1"/>
    <col min="15618" max="15618" width="7.85546875" style="104" customWidth="1"/>
    <col min="15619" max="15619" width="1.85546875" style="104" customWidth="1"/>
    <col min="15620" max="15620" width="56" style="104" customWidth="1"/>
    <col min="15621" max="15621" width="37.42578125" style="104" customWidth="1"/>
    <col min="15622" max="15622" width="26.140625" style="104" customWidth="1"/>
    <col min="15623" max="15623" width="20.5703125" style="104" customWidth="1"/>
    <col min="15624" max="15624" width="18.85546875" style="104" customWidth="1"/>
    <col min="15625" max="15625" width="9.85546875" style="104" customWidth="1"/>
    <col min="15626" max="15626" width="21.85546875" style="104" bestFit="1" customWidth="1"/>
    <col min="15627" max="15627" width="4.5703125" style="104" customWidth="1"/>
    <col min="15628" max="15628" width="21.140625" style="104" customWidth="1"/>
    <col min="15629" max="15629" width="19.42578125" style="104" customWidth="1"/>
    <col min="15630" max="15630" width="28.85546875" style="104" bestFit="1" customWidth="1"/>
    <col min="15631" max="15631" width="3.140625" style="104" customWidth="1"/>
    <col min="15632" max="15632" width="21.85546875" style="104" customWidth="1"/>
    <col min="15633" max="15633" width="11.42578125" style="104" customWidth="1"/>
    <col min="15634" max="15634" width="20.5703125" style="104" bestFit="1" customWidth="1"/>
    <col min="15635" max="15872" width="11.42578125" style="104"/>
    <col min="15873" max="15873" width="4.5703125" style="104" customWidth="1"/>
    <col min="15874" max="15874" width="7.85546875" style="104" customWidth="1"/>
    <col min="15875" max="15875" width="1.85546875" style="104" customWidth="1"/>
    <col min="15876" max="15876" width="56" style="104" customWidth="1"/>
    <col min="15877" max="15877" width="37.42578125" style="104" customWidth="1"/>
    <col min="15878" max="15878" width="26.140625" style="104" customWidth="1"/>
    <col min="15879" max="15879" width="20.5703125" style="104" customWidth="1"/>
    <col min="15880" max="15880" width="18.85546875" style="104" customWidth="1"/>
    <col min="15881" max="15881" width="9.85546875" style="104" customWidth="1"/>
    <col min="15882" max="15882" width="21.85546875" style="104" bestFit="1" customWidth="1"/>
    <col min="15883" max="15883" width="4.5703125" style="104" customWidth="1"/>
    <col min="15884" max="15884" width="21.140625" style="104" customWidth="1"/>
    <col min="15885" max="15885" width="19.42578125" style="104" customWidth="1"/>
    <col min="15886" max="15886" width="28.85546875" style="104" bestFit="1" customWidth="1"/>
    <col min="15887" max="15887" width="3.140625" style="104" customWidth="1"/>
    <col min="15888" max="15888" width="21.85546875" style="104" customWidth="1"/>
    <col min="15889" max="15889" width="11.42578125" style="104" customWidth="1"/>
    <col min="15890" max="15890" width="20.5703125" style="104" bestFit="1" customWidth="1"/>
    <col min="15891" max="16128" width="11.42578125" style="104"/>
    <col min="16129" max="16129" width="4.5703125" style="104" customWidth="1"/>
    <col min="16130" max="16130" width="7.85546875" style="104" customWidth="1"/>
    <col min="16131" max="16131" width="1.85546875" style="104" customWidth="1"/>
    <col min="16132" max="16132" width="56" style="104" customWidth="1"/>
    <col min="16133" max="16133" width="37.42578125" style="104" customWidth="1"/>
    <col min="16134" max="16134" width="26.140625" style="104" customWidth="1"/>
    <col min="16135" max="16135" width="20.5703125" style="104" customWidth="1"/>
    <col min="16136" max="16136" width="18.85546875" style="104" customWidth="1"/>
    <col min="16137" max="16137" width="9.85546875" style="104" customWidth="1"/>
    <col min="16138" max="16138" width="21.85546875" style="104" bestFit="1" customWidth="1"/>
    <col min="16139" max="16139" width="4.5703125" style="104" customWidth="1"/>
    <col min="16140" max="16140" width="21.140625" style="104" customWidth="1"/>
    <col min="16141" max="16141" width="19.42578125" style="104" customWidth="1"/>
    <col min="16142" max="16142" width="28.85546875" style="104" bestFit="1" customWidth="1"/>
    <col min="16143" max="16143" width="3.140625" style="104" customWidth="1"/>
    <col min="16144" max="16144" width="21.85546875" style="104" customWidth="1"/>
    <col min="16145" max="16145" width="11.42578125" style="104" customWidth="1"/>
    <col min="16146" max="16146" width="20.5703125" style="104" bestFit="1" customWidth="1"/>
    <col min="16147" max="16384" width="11.42578125" style="104"/>
  </cols>
  <sheetData>
    <row r="1" spans="2:16" ht="15.75">
      <c r="B1" s="336"/>
      <c r="C1" s="192"/>
      <c r="D1" s="318"/>
      <c r="E1" s="145"/>
      <c r="F1" s="145"/>
      <c r="G1" s="144"/>
      <c r="H1" s="192"/>
      <c r="I1" s="249"/>
      <c r="J1" s="249"/>
      <c r="K1" s="249"/>
      <c r="L1" s="120"/>
      <c r="M1" s="120"/>
      <c r="N1" s="409">
        <f>'[6]OKT Historic TCOS'!O1</f>
        <v>2017</v>
      </c>
    </row>
    <row r="2" spans="2:16" ht="15.75" thickBot="1">
      <c r="B2" s="336"/>
      <c r="C2" s="192"/>
      <c r="D2" s="120"/>
      <c r="E2" s="192"/>
      <c r="F2" s="192"/>
      <c r="G2" s="192"/>
      <c r="H2" s="192"/>
      <c r="I2" s="192"/>
      <c r="J2" s="192"/>
      <c r="K2" s="192"/>
      <c r="L2" s="192"/>
      <c r="M2" s="120"/>
      <c r="N2" s="409">
        <f>'[6]OKT Historic TCOS'!O2</f>
        <v>2018</v>
      </c>
    </row>
    <row r="3" spans="2:16" ht="15.75" customHeight="1">
      <c r="B3" s="336"/>
      <c r="C3" s="192"/>
      <c r="D3" s="119"/>
      <c r="E3" s="119"/>
      <c r="F3" s="408" t="s">
        <v>543</v>
      </c>
      <c r="G3" s="407"/>
      <c r="H3" s="404"/>
      <c r="J3" s="135"/>
      <c r="K3" s="138"/>
      <c r="L3" s="138"/>
      <c r="M3" s="403"/>
      <c r="N3" s="483" t="s">
        <v>546</v>
      </c>
      <c r="O3" s="484"/>
      <c r="P3" s="485"/>
    </row>
    <row r="4" spans="2:16">
      <c r="B4" s="336"/>
      <c r="C4" s="192"/>
      <c r="D4" s="119"/>
      <c r="E4" s="139"/>
      <c r="F4" s="406" t="s">
        <v>542</v>
      </c>
      <c r="G4" s="404"/>
      <c r="H4" s="404"/>
      <c r="J4" s="139"/>
      <c r="K4" s="138"/>
      <c r="L4" s="138"/>
      <c r="M4" s="403"/>
      <c r="N4" s="436" t="s">
        <v>547</v>
      </c>
      <c r="O4" s="437"/>
      <c r="P4" s="438">
        <v>42891</v>
      </c>
    </row>
    <row r="5" spans="2:16">
      <c r="B5" s="336"/>
      <c r="C5" s="192"/>
      <c r="D5" s="125"/>
      <c r="E5" s="138"/>
      <c r="F5" s="405" t="str">
        <f>"Utilizing Actual Cost Data for "&amp;'[6]OKT Historic TCOS'!O1&amp;" with Average Ratebase Balances"</f>
        <v>Utilizing Actual Cost Data for 2017 with Average Ratebase Balances</v>
      </c>
      <c r="G5" s="404"/>
      <c r="H5" s="404"/>
      <c r="J5" s="138"/>
      <c r="K5" s="138"/>
      <c r="L5" s="138"/>
      <c r="M5" s="403"/>
      <c r="N5" s="439" t="s">
        <v>548</v>
      </c>
      <c r="O5" s="437"/>
      <c r="P5" s="438">
        <v>43100</v>
      </c>
    </row>
    <row r="6" spans="2:16" ht="15.75" thickBot="1">
      <c r="B6" s="134"/>
      <c r="C6" s="133"/>
      <c r="D6" s="125"/>
      <c r="H6" s="434"/>
      <c r="I6" s="434"/>
      <c r="J6" s="434"/>
      <c r="K6" s="434"/>
      <c r="L6" s="138"/>
      <c r="M6" s="125"/>
      <c r="N6" s="440" t="s">
        <v>549</v>
      </c>
      <c r="O6" s="441"/>
      <c r="P6" s="442">
        <f>P5-P4</f>
        <v>209</v>
      </c>
    </row>
    <row r="7" spans="2:16" ht="15.75">
      <c r="B7" s="134"/>
      <c r="C7" s="133"/>
      <c r="D7" s="143"/>
      <c r="E7" s="125"/>
      <c r="F7" s="402" t="str">
        <f>'[6]OKT Historic TCOS'!F7</f>
        <v>AEP OKLAHOMA TRANSMISSION COMPANY, INC</v>
      </c>
      <c r="G7" s="401"/>
      <c r="H7" s="138"/>
      <c r="I7" s="138"/>
      <c r="J7" s="138"/>
      <c r="K7" s="138"/>
      <c r="L7" s="108"/>
      <c r="M7" s="108"/>
    </row>
    <row r="8" spans="2:16">
      <c r="B8" s="134"/>
      <c r="C8" s="133"/>
      <c r="D8" s="125"/>
      <c r="E8" s="138"/>
      <c r="F8" s="400"/>
      <c r="G8" s="399"/>
      <c r="H8" s="138"/>
      <c r="I8" s="138"/>
      <c r="J8" s="138"/>
      <c r="K8" s="138"/>
      <c r="L8" s="108"/>
      <c r="M8" s="108"/>
      <c r="N8" s="108"/>
    </row>
    <row r="9" spans="2:16">
      <c r="B9" s="134" t="s">
        <v>541</v>
      </c>
      <c r="C9" s="133"/>
      <c r="D9" s="138"/>
      <c r="E9" s="138"/>
      <c r="F9" s="138"/>
      <c r="G9" s="399"/>
      <c r="H9" s="138"/>
      <c r="I9" s="138"/>
      <c r="J9" s="138"/>
      <c r="K9" s="138"/>
      <c r="L9" s="133" t="s">
        <v>455</v>
      </c>
      <c r="M9" s="108"/>
      <c r="N9" s="398" t="s">
        <v>540</v>
      </c>
      <c r="O9" s="151"/>
      <c r="P9" s="398" t="s">
        <v>539</v>
      </c>
    </row>
    <row r="10" spans="2:16" ht="15.75" thickBot="1">
      <c r="B10" s="243" t="s">
        <v>388</v>
      </c>
      <c r="C10" s="132"/>
      <c r="D10" s="138"/>
      <c r="E10" s="132"/>
      <c r="F10" s="138"/>
      <c r="G10" s="138"/>
      <c r="H10" s="138"/>
      <c r="I10" s="138"/>
      <c r="J10" s="138"/>
      <c r="K10" s="138"/>
      <c r="L10" s="394" t="s">
        <v>538</v>
      </c>
      <c r="M10" s="108"/>
      <c r="N10" s="171" t="s">
        <v>545</v>
      </c>
      <c r="O10" s="151"/>
      <c r="P10" s="171"/>
    </row>
    <row r="11" spans="2:16">
      <c r="B11" s="134">
        <v>1</v>
      </c>
      <c r="C11" s="133"/>
      <c r="D11" s="397" t="s">
        <v>537</v>
      </c>
      <c r="E11" s="125" t="str">
        <f>"(ln "&amp;B178&amp;")"</f>
        <v>(ln 106)</v>
      </c>
      <c r="F11" s="125"/>
      <c r="G11" s="392"/>
      <c r="H11" s="362"/>
      <c r="I11" s="138"/>
      <c r="J11" s="138"/>
      <c r="K11" s="138"/>
      <c r="L11" s="136">
        <f>+L178</f>
        <v>91355761.056834936</v>
      </c>
      <c r="M11" s="108"/>
      <c r="N11" s="396">
        <v>96710176.899025589</v>
      </c>
      <c r="O11" s="151"/>
      <c r="P11" s="396">
        <f t="shared" ref="P11:P49" si="0">IF(N11="","",N11-L11)</f>
        <v>5354415.8421906531</v>
      </c>
    </row>
    <row r="12" spans="2:16" ht="15.75" thickBot="1">
      <c r="B12" s="134"/>
      <c r="C12" s="133"/>
      <c r="E12" s="395"/>
      <c r="F12" s="131"/>
      <c r="G12" s="394" t="s">
        <v>372</v>
      </c>
      <c r="H12" s="139"/>
      <c r="I12" s="393" t="s">
        <v>520</v>
      </c>
      <c r="J12" s="393"/>
      <c r="K12" s="138"/>
      <c r="L12" s="392"/>
      <c r="M12" s="108"/>
      <c r="N12" s="391"/>
      <c r="O12" s="151"/>
      <c r="P12" s="391" t="str">
        <f t="shared" si="0"/>
        <v/>
      </c>
    </row>
    <row r="13" spans="2:16">
      <c r="B13" s="134">
        <f>+B11+1</f>
        <v>2</v>
      </c>
      <c r="C13" s="133"/>
      <c r="D13" s="373" t="s">
        <v>536</v>
      </c>
      <c r="E13" s="305" t="s">
        <v>535</v>
      </c>
      <c r="F13" s="131"/>
      <c r="G13" s="237"/>
      <c r="H13" s="131"/>
      <c r="I13" s="175"/>
      <c r="J13" s="214"/>
      <c r="K13" s="139"/>
      <c r="L13" s="387"/>
      <c r="M13" s="108"/>
      <c r="N13" s="386"/>
      <c r="O13" s="151"/>
      <c r="P13" s="386" t="str">
        <f t="shared" si="0"/>
        <v/>
      </c>
    </row>
    <row r="14" spans="2:16">
      <c r="B14" s="134">
        <f>+B13+1</f>
        <v>3</v>
      </c>
      <c r="C14" s="133"/>
      <c r="D14" s="135" t="s">
        <v>534</v>
      </c>
      <c r="E14" s="303" t="s">
        <v>532</v>
      </c>
      <c r="F14" s="131"/>
      <c r="G14" s="237">
        <f>+'[6]OKT WS H Rev Credits'!M46</f>
        <v>2313215.2200000137</v>
      </c>
      <c r="H14" s="131"/>
      <c r="I14" s="175" t="s">
        <v>269</v>
      </c>
      <c r="J14" s="214">
        <f>VLOOKUP(I14,PSO_TU_Allocators,2,FALSE)</f>
        <v>1</v>
      </c>
      <c r="K14" s="139"/>
      <c r="L14" s="387">
        <f>+J14*G14</f>
        <v>2313215.2200000137</v>
      </c>
      <c r="M14" s="108"/>
      <c r="N14" s="386">
        <v>2313215.2200000137</v>
      </c>
      <c r="O14" s="151"/>
      <c r="P14" s="386">
        <f t="shared" si="0"/>
        <v>0</v>
      </c>
    </row>
    <row r="15" spans="2:16">
      <c r="B15" s="134">
        <f>+B14+1</f>
        <v>4</v>
      </c>
      <c r="C15" s="133"/>
      <c r="D15" s="135" t="s">
        <v>533</v>
      </c>
      <c r="E15" s="303" t="s">
        <v>532</v>
      </c>
      <c r="F15" s="131"/>
      <c r="G15" s="390">
        <f>+'[6]OKT WS H Rev Credits'!M28</f>
        <v>2226132.9900000002</v>
      </c>
      <c r="H15" s="131"/>
      <c r="I15" s="175" t="s">
        <v>269</v>
      </c>
      <c r="J15" s="214">
        <f>VLOOKUP(I15,PSO_TU_Allocators,2,FALSE)</f>
        <v>1</v>
      </c>
      <c r="K15" s="139"/>
      <c r="L15" s="389">
        <f>+J15*G15</f>
        <v>2226132.9900000002</v>
      </c>
      <c r="M15" s="108"/>
      <c r="N15" s="388">
        <v>2226132.9900000002</v>
      </c>
      <c r="O15" s="151"/>
      <c r="P15" s="388">
        <f t="shared" si="0"/>
        <v>0</v>
      </c>
    </row>
    <row r="16" spans="2:16">
      <c r="B16" s="134">
        <f>+B15+1</f>
        <v>5</v>
      </c>
      <c r="C16" s="133"/>
      <c r="D16" s="135" t="s">
        <v>531</v>
      </c>
      <c r="E16" s="138"/>
      <c r="F16" s="131"/>
      <c r="G16" s="237">
        <f>+G14+G15</f>
        <v>4539348.2100000139</v>
      </c>
      <c r="H16" s="131"/>
      <c r="I16" s="175"/>
      <c r="J16" s="214"/>
      <c r="K16" s="139"/>
      <c r="L16" s="387">
        <f>+L15+L14</f>
        <v>4539348.2100000139</v>
      </c>
      <c r="M16" s="108"/>
      <c r="N16" s="386">
        <v>4539348.2100000139</v>
      </c>
      <c r="O16" s="151"/>
      <c r="P16" s="386">
        <f t="shared" si="0"/>
        <v>0</v>
      </c>
    </row>
    <row r="17" spans="2:16">
      <c r="B17" s="134"/>
      <c r="C17" s="133"/>
      <c r="D17" s="373"/>
      <c r="F17" s="139"/>
      <c r="L17" s="385"/>
      <c r="M17" s="108"/>
      <c r="N17" s="384"/>
      <c r="O17" s="151"/>
      <c r="P17" s="384" t="str">
        <f t="shared" si="0"/>
        <v/>
      </c>
    </row>
    <row r="18" spans="2:16" ht="30.75" thickBot="1">
      <c r="B18" s="115">
        <f>+B16+1</f>
        <v>6</v>
      </c>
      <c r="C18" s="114"/>
      <c r="D18" s="383" t="s">
        <v>530</v>
      </c>
      <c r="E18" s="305" t="str">
        <f>"(ln "&amp;B11&amp;" less ln " &amp;B16&amp;")"</f>
        <v>(ln 1 less ln 5)</v>
      </c>
      <c r="F18" s="138"/>
      <c r="H18" s="139"/>
      <c r="I18" s="204"/>
      <c r="J18" s="139"/>
      <c r="K18" s="139"/>
      <c r="L18" s="382">
        <f>+L11-L16</f>
        <v>86816412.846834928</v>
      </c>
      <c r="M18" s="108"/>
      <c r="N18" s="381">
        <v>92170828.689025581</v>
      </c>
      <c r="O18" s="151"/>
      <c r="P18" s="381">
        <f t="shared" si="0"/>
        <v>5354415.8421906531</v>
      </c>
    </row>
    <row r="19" spans="2:16" ht="15.75" thickTop="1">
      <c r="B19" s="115"/>
      <c r="C19" s="114"/>
      <c r="D19" s="373"/>
      <c r="E19" s="303"/>
      <c r="F19" s="138"/>
      <c r="H19" s="139"/>
      <c r="I19" s="204"/>
      <c r="J19" s="139"/>
      <c r="K19" s="139"/>
      <c r="L19" s="380"/>
      <c r="M19" s="108"/>
      <c r="N19" s="377"/>
      <c r="O19" s="151"/>
      <c r="P19" s="377" t="str">
        <f t="shared" si="0"/>
        <v/>
      </c>
    </row>
    <row r="20" spans="2:16" ht="15" customHeight="1">
      <c r="B20" s="479" t="str">
        <f>"MEMO:  The Carrying Charge Calculations on lines "&amp;B26&amp;" to "&amp;B33&amp;" below is used in calculating project revenue requirements billed on SPP Schedule 11.  The total non-incentive revenue requirements for these projects shown on line "&amp;B23&amp;" is included in the total on line "&amp;B18&amp;"."</f>
        <v>MEMO:  The Carrying Charge Calculations on lines 9 to 14 below is used in calculating project revenue requirements billed on SPP Schedule 11.  The total non-incentive revenue requirements for these projects shown on line 7 is included in the total on line 6.</v>
      </c>
      <c r="C20" s="479"/>
      <c r="D20" s="479"/>
      <c r="E20" s="479"/>
      <c r="F20" s="479"/>
      <c r="G20" s="479"/>
      <c r="H20" s="479"/>
      <c r="I20" s="479"/>
      <c r="J20" s="108"/>
      <c r="M20" s="108"/>
      <c r="N20" s="151"/>
      <c r="O20" s="151"/>
      <c r="P20" s="151" t="str">
        <f t="shared" si="0"/>
        <v/>
      </c>
    </row>
    <row r="21" spans="2:16" ht="15" customHeight="1">
      <c r="B21" s="479"/>
      <c r="C21" s="479"/>
      <c r="D21" s="479"/>
      <c r="E21" s="479"/>
      <c r="F21" s="479"/>
      <c r="G21" s="479"/>
      <c r="H21" s="479"/>
      <c r="I21" s="479"/>
      <c r="J21" s="108"/>
      <c r="K21" s="108"/>
      <c r="L21" s="108"/>
      <c r="M21" s="108"/>
      <c r="N21" s="317"/>
      <c r="O21" s="151"/>
      <c r="P21" s="317" t="str">
        <f t="shared" si="0"/>
        <v/>
      </c>
    </row>
    <row r="22" spans="2:16" ht="15" customHeight="1">
      <c r="B22" s="379"/>
      <c r="C22" s="379"/>
      <c r="D22" s="379"/>
      <c r="E22" s="379"/>
      <c r="F22" s="379"/>
      <c r="G22" s="379"/>
      <c r="H22" s="379"/>
      <c r="I22" s="379"/>
      <c r="M22" s="108"/>
      <c r="N22" s="151"/>
      <c r="O22" s="151"/>
      <c r="P22" s="151" t="str">
        <f t="shared" si="0"/>
        <v/>
      </c>
    </row>
    <row r="23" spans="2:16">
      <c r="B23" s="134">
        <f>+B18+1</f>
        <v>7</v>
      </c>
      <c r="C23" s="114"/>
      <c r="D23" s="480" t="s">
        <v>529</v>
      </c>
      <c r="E23" s="474"/>
      <c r="F23" s="131"/>
      <c r="G23" s="154">
        <f>+'[6]OKT WS G BPU ATRR True-up'!N18</f>
        <v>30557710.372455016</v>
      </c>
      <c r="H23" s="131"/>
      <c r="I23" s="175" t="s">
        <v>269</v>
      </c>
      <c r="J23" s="214">
        <f>VLOOKUP(I23,PSO_TU_Allocators,2,FALSE)</f>
        <v>1</v>
      </c>
      <c r="K23" s="125"/>
      <c r="L23" s="378">
        <f>+J23*G23</f>
        <v>30557710.372455016</v>
      </c>
      <c r="M23" s="108"/>
      <c r="N23" s="377">
        <v>29536799.904381424</v>
      </c>
      <c r="O23" s="151"/>
      <c r="P23" s="377">
        <f t="shared" si="0"/>
        <v>-1020910.4680735916</v>
      </c>
    </row>
    <row r="24" spans="2:16">
      <c r="B24" s="134"/>
      <c r="C24" s="114"/>
      <c r="D24" s="474"/>
      <c r="E24" s="474"/>
      <c r="F24" s="131"/>
      <c r="G24" s="154"/>
      <c r="H24" s="131"/>
      <c r="I24" s="131"/>
      <c r="J24" s="214"/>
      <c r="K24" s="125"/>
      <c r="L24" s="378"/>
      <c r="M24" s="108"/>
      <c r="N24" s="377"/>
      <c r="O24" s="151"/>
      <c r="P24" s="377" t="str">
        <f t="shared" si="0"/>
        <v/>
      </c>
    </row>
    <row r="25" spans="2:16">
      <c r="B25" s="115">
        <f>+B23+1</f>
        <v>8</v>
      </c>
      <c r="C25" s="114"/>
      <c r="D25" s="373" t="s">
        <v>528</v>
      </c>
      <c r="E25" s="305"/>
      <c r="F25" s="138"/>
      <c r="G25" s="376"/>
      <c r="H25" s="138"/>
      <c r="I25" s="192"/>
      <c r="J25" s="138"/>
      <c r="K25" s="138"/>
      <c r="M25" s="108"/>
      <c r="N25" s="151"/>
      <c r="O25" s="151"/>
      <c r="P25" s="151" t="str">
        <f t="shared" si="0"/>
        <v/>
      </c>
    </row>
    <row r="26" spans="2:16">
      <c r="B26" s="134">
        <f>B25+1</f>
        <v>9</v>
      </c>
      <c r="C26" s="114"/>
      <c r="D26" s="135" t="s">
        <v>526</v>
      </c>
      <c r="E26" s="125" t="str">
        <f>"(ln "&amp;B11&amp;"/ ln "&amp;B79&amp;" x 100%)"</f>
        <v>(ln 1/ ln 39 x 100%)</v>
      </c>
      <c r="F26" s="133"/>
      <c r="G26" s="133"/>
      <c r="H26" s="133"/>
      <c r="I26" s="365"/>
      <c r="J26" s="365"/>
      <c r="K26" s="365"/>
      <c r="L26" s="364">
        <f>IF(L79=0,0,(L11)/L79)</f>
        <v>0.13939722164100374</v>
      </c>
      <c r="M26" s="108"/>
      <c r="N26" s="363">
        <v>0.13914467470079375</v>
      </c>
      <c r="O26" s="151"/>
      <c r="P26" s="363">
        <f t="shared" si="0"/>
        <v>-2.5254694020998558E-4</v>
      </c>
    </row>
    <row r="27" spans="2:16">
      <c r="B27" s="134">
        <f>B26+1</f>
        <v>10</v>
      </c>
      <c r="C27" s="114"/>
      <c r="D27" s="135" t="s">
        <v>527</v>
      </c>
      <c r="E27" s="125" t="str">
        <f>"(ln "&amp;B26&amp;" / 12)"</f>
        <v>(ln 9 / 12)</v>
      </c>
      <c r="F27" s="133"/>
      <c r="G27" s="133"/>
      <c r="H27" s="133"/>
      <c r="I27" s="365"/>
      <c r="J27" s="365"/>
      <c r="K27" s="365"/>
      <c r="L27" s="375">
        <f>L26/12</f>
        <v>1.1616435136750312E-2</v>
      </c>
      <c r="M27" s="108"/>
      <c r="N27" s="374">
        <v>1.1595389558399479E-2</v>
      </c>
      <c r="O27" s="151"/>
      <c r="P27" s="374">
        <f t="shared" si="0"/>
        <v>-2.1045578350833288E-5</v>
      </c>
    </row>
    <row r="28" spans="2:16">
      <c r="B28" s="134"/>
      <c r="C28" s="114"/>
      <c r="D28" s="135"/>
      <c r="E28" s="125"/>
      <c r="F28" s="133"/>
      <c r="G28" s="133"/>
      <c r="H28" s="133"/>
      <c r="I28" s="365"/>
      <c r="J28" s="365"/>
      <c r="K28" s="365"/>
      <c r="L28" s="375"/>
      <c r="M28" s="108"/>
      <c r="N28" s="374"/>
      <c r="O28" s="151"/>
      <c r="P28" s="374" t="str">
        <f t="shared" si="0"/>
        <v/>
      </c>
    </row>
    <row r="29" spans="2:16">
      <c r="B29" s="134">
        <f>B27+1</f>
        <v>11</v>
      </c>
      <c r="C29" s="114"/>
      <c r="D29" s="373" t="str">
        <f>"NET PLANT CARRYING CHARGE ON LINE "&amp;B26&amp;" , W/O DEPRECIATION (w/o incentives) (Note B)"</f>
        <v>NET PLANT CARRYING CHARGE ON LINE 9 , W/O DEPRECIATION (w/o incentives) (Note B)</v>
      </c>
      <c r="E29" s="125"/>
      <c r="F29" s="133"/>
      <c r="G29" s="133"/>
      <c r="H29" s="133"/>
      <c r="I29" s="365"/>
      <c r="J29" s="365"/>
      <c r="K29" s="365"/>
      <c r="L29" s="375"/>
      <c r="M29" s="108"/>
      <c r="N29" s="374"/>
      <c r="O29" s="151"/>
      <c r="P29" s="374" t="str">
        <f t="shared" si="0"/>
        <v/>
      </c>
    </row>
    <row r="30" spans="2:16">
      <c r="B30" s="134">
        <f>B29+1</f>
        <v>12</v>
      </c>
      <c r="C30" s="114"/>
      <c r="D30" s="135" t="s">
        <v>526</v>
      </c>
      <c r="E30" s="125" t="str">
        <f>"( (ln "&amp;B11&amp;" - ln "&amp;B147&amp;") / ln "&amp;B79&amp;" x 100%)"</f>
        <v>( (ln 1 - ln 82) / ln 39 x 100%)</v>
      </c>
      <c r="F30" s="133"/>
      <c r="G30" s="133"/>
      <c r="H30" s="133"/>
      <c r="I30" s="365"/>
      <c r="J30" s="365"/>
      <c r="K30" s="365"/>
      <c r="L30" s="364">
        <f>IF(L79=0,0,(L11-L147)/L79)</f>
        <v>0.11295898543426157</v>
      </c>
      <c r="M30" s="108"/>
      <c r="N30" s="363">
        <v>0.11271150426953468</v>
      </c>
      <c r="O30" s="151"/>
      <c r="P30" s="363">
        <f t="shared" si="0"/>
        <v>-2.4748116472689263E-4</v>
      </c>
    </row>
    <row r="31" spans="2:16">
      <c r="B31" s="134"/>
      <c r="C31" s="114"/>
      <c r="D31" s="135"/>
      <c r="E31" s="125"/>
      <c r="F31" s="133"/>
      <c r="G31" s="133"/>
      <c r="H31" s="133"/>
      <c r="I31" s="365"/>
      <c r="J31" s="365"/>
      <c r="K31" s="365"/>
      <c r="L31" s="375"/>
      <c r="M31" s="108"/>
      <c r="N31" s="374"/>
      <c r="O31" s="151"/>
      <c r="P31" s="374" t="str">
        <f t="shared" si="0"/>
        <v/>
      </c>
    </row>
    <row r="32" spans="2:16">
      <c r="B32" s="134">
        <f>B30+1</f>
        <v>13</v>
      </c>
      <c r="C32" s="114"/>
      <c r="D32" s="373" t="str">
        <f>"NET PLANT CARRYING CHARGE ON LINE "&amp;B29&amp;", W/O  INCOME TAXES, RETURN  (Note B)"</f>
        <v>NET PLANT CARRYING CHARGE ON LINE 11, W/O  INCOME TAXES, RETURN  (Note B)</v>
      </c>
      <c r="E32" s="125"/>
      <c r="F32" s="133"/>
      <c r="G32" s="133"/>
      <c r="H32" s="133"/>
      <c r="I32" s="365"/>
      <c r="J32" s="365"/>
      <c r="K32" s="365"/>
      <c r="L32" s="372"/>
      <c r="M32" s="108"/>
      <c r="N32" s="371"/>
      <c r="O32" s="151"/>
      <c r="P32" s="371" t="str">
        <f t="shared" si="0"/>
        <v/>
      </c>
    </row>
    <row r="33" spans="2:16">
      <c r="B33" s="134">
        <f>B32+1</f>
        <v>14</v>
      </c>
      <c r="C33" s="114"/>
      <c r="D33" s="135" t="s">
        <v>526</v>
      </c>
      <c r="E33" s="125" t="str">
        <f>"( (ln "&amp;B11&amp;" - ln "&amp;B147&amp;" - ln "&amp;B172&amp;" - ln "&amp;B174&amp;") / ln "&amp;B79&amp;" x 100%)"</f>
        <v>( (ln 1 - ln 82 - ln 103 - ln 104) / ln 39 x 100%)</v>
      </c>
      <c r="F33" s="133"/>
      <c r="G33" s="133"/>
      <c r="H33" s="133"/>
      <c r="I33" s="365"/>
      <c r="J33" s="365"/>
      <c r="K33" s="365"/>
      <c r="L33" s="370">
        <f>IF(L79=0,0,(L11-L147-L172-L174)/L79)</f>
        <v>2.7529498225833532E-2</v>
      </c>
      <c r="M33" s="108"/>
      <c r="N33" s="432">
        <v>2.7486814054991024E-2</v>
      </c>
      <c r="O33" s="151"/>
      <c r="P33" s="432">
        <f t="shared" si="0"/>
        <v>-4.2684170842507974E-5</v>
      </c>
    </row>
    <row r="34" spans="2:16">
      <c r="B34" s="134"/>
      <c r="C34" s="114"/>
      <c r="D34" s="135"/>
      <c r="E34" s="125"/>
      <c r="F34" s="133"/>
      <c r="G34" s="133"/>
      <c r="H34" s="133"/>
      <c r="I34" s="365"/>
      <c r="J34" s="365"/>
      <c r="K34" s="365"/>
      <c r="L34" s="364"/>
      <c r="M34" s="108"/>
      <c r="N34" s="363"/>
      <c r="O34" s="151"/>
      <c r="P34" s="363" t="str">
        <f t="shared" si="0"/>
        <v/>
      </c>
    </row>
    <row r="35" spans="2:16">
      <c r="B35" s="134">
        <f>B33+1</f>
        <v>15</v>
      </c>
      <c r="C35" s="133"/>
      <c r="D35" s="368" t="s">
        <v>525</v>
      </c>
      <c r="E35" s="125"/>
      <c r="F35" s="133"/>
      <c r="G35" s="133"/>
      <c r="H35" s="133"/>
      <c r="I35" s="365"/>
      <c r="J35" s="365"/>
      <c r="K35" s="365"/>
      <c r="L35" s="367">
        <f>+'[6]OKT WS G BPU ATRR True-up'!P18</f>
        <v>0</v>
      </c>
      <c r="M35" s="108"/>
      <c r="N35" s="431">
        <v>0</v>
      </c>
      <c r="O35" s="151"/>
      <c r="P35" s="431">
        <f t="shared" si="0"/>
        <v>0</v>
      </c>
    </row>
    <row r="36" spans="2:16">
      <c r="B36" s="134"/>
      <c r="C36" s="133"/>
      <c r="D36" s="192"/>
      <c r="E36" s="125"/>
      <c r="F36" s="133"/>
      <c r="G36" s="133"/>
      <c r="H36" s="133"/>
      <c r="I36" s="365"/>
      <c r="J36" s="365"/>
      <c r="K36" s="365"/>
      <c r="L36" s="364"/>
      <c r="M36" s="108"/>
      <c r="N36" s="363"/>
      <c r="O36" s="151"/>
      <c r="P36" s="363" t="str">
        <f t="shared" si="0"/>
        <v/>
      </c>
    </row>
    <row r="37" spans="2:16">
      <c r="B37" s="104"/>
      <c r="C37" s="133"/>
      <c r="D37" s="192"/>
      <c r="E37" s="125"/>
      <c r="F37" s="133"/>
      <c r="G37" s="133"/>
      <c r="H37" s="133"/>
      <c r="I37" s="365"/>
      <c r="J37" s="365"/>
      <c r="K37" s="365"/>
      <c r="L37" s="364"/>
      <c r="M37" s="108"/>
      <c r="N37" s="363"/>
      <c r="O37" s="151"/>
      <c r="P37" s="363" t="str">
        <f t="shared" si="0"/>
        <v/>
      </c>
    </row>
    <row r="38" spans="2:16">
      <c r="B38" s="134"/>
      <c r="C38" s="133"/>
      <c r="D38" s="192"/>
      <c r="E38" s="125"/>
      <c r="F38" s="133"/>
      <c r="G38" s="133"/>
      <c r="H38" s="133"/>
      <c r="I38" s="365"/>
      <c r="J38" s="365"/>
      <c r="K38" s="365"/>
      <c r="L38" s="364"/>
      <c r="M38" s="108"/>
      <c r="N38" s="363"/>
      <c r="O38" s="151"/>
      <c r="P38" s="363" t="str">
        <f t="shared" si="0"/>
        <v/>
      </c>
    </row>
    <row r="39" spans="2:16">
      <c r="B39" s="134"/>
      <c r="C39" s="133"/>
      <c r="D39" s="192"/>
      <c r="E39" s="125"/>
      <c r="F39" s="133"/>
      <c r="G39" s="133"/>
      <c r="H39" s="133"/>
      <c r="I39" s="365"/>
      <c r="J39" s="365"/>
      <c r="K39" s="365"/>
      <c r="L39" s="364"/>
      <c r="M39" s="108"/>
      <c r="N39" s="363"/>
      <c r="O39" s="151"/>
      <c r="P39" s="363" t="str">
        <f t="shared" si="0"/>
        <v/>
      </c>
    </row>
    <row r="40" spans="2:16">
      <c r="B40" s="336"/>
      <c r="C40" s="192"/>
      <c r="D40" s="135"/>
      <c r="E40" s="135"/>
      <c r="G40" s="362"/>
      <c r="H40" s="135"/>
      <c r="I40" s="135"/>
      <c r="J40" s="135"/>
      <c r="K40" s="135"/>
      <c r="L40" s="135"/>
      <c r="M40" s="108"/>
      <c r="N40" s="245"/>
      <c r="O40" s="151"/>
      <c r="P40" s="245" t="str">
        <f t="shared" si="0"/>
        <v/>
      </c>
    </row>
    <row r="41" spans="2:16">
      <c r="B41" s="336"/>
      <c r="C41" s="192"/>
      <c r="D41" s="135"/>
      <c r="E41" s="135"/>
      <c r="F41" s="133"/>
      <c r="G41" s="362"/>
      <c r="H41" s="135"/>
      <c r="I41" s="135"/>
      <c r="J41" s="135"/>
      <c r="K41" s="135"/>
      <c r="L41" s="135"/>
      <c r="M41" s="108"/>
      <c r="N41" s="245"/>
      <c r="O41" s="151"/>
      <c r="P41" s="245" t="str">
        <f t="shared" si="0"/>
        <v/>
      </c>
    </row>
    <row r="42" spans="2:16">
      <c r="B42" s="336"/>
      <c r="C42" s="192"/>
      <c r="D42" s="135"/>
      <c r="E42" s="135"/>
      <c r="F42" s="133" t="str">
        <f>F3</f>
        <v xml:space="preserve">AEP West SPP Member Companies </v>
      </c>
      <c r="G42" s="362"/>
      <c r="H42" s="135"/>
      <c r="I42" s="135"/>
      <c r="J42" s="135"/>
      <c r="K42" s="135"/>
      <c r="L42" s="135"/>
      <c r="M42" s="108"/>
      <c r="N42" s="245"/>
      <c r="O42" s="151"/>
      <c r="P42" s="245" t="str">
        <f t="shared" si="0"/>
        <v/>
      </c>
    </row>
    <row r="43" spans="2:16">
      <c r="B43" s="336"/>
      <c r="C43" s="192"/>
      <c r="D43" s="135"/>
      <c r="E43" s="139"/>
      <c r="F43" s="133" t="str">
        <f>F4</f>
        <v>Transmission Cost of Service Formula Rate</v>
      </c>
      <c r="G43" s="139"/>
      <c r="H43" s="139"/>
      <c r="I43" s="139"/>
      <c r="J43" s="139"/>
      <c r="K43" s="139"/>
      <c r="L43" s="139"/>
      <c r="M43" s="108"/>
      <c r="N43" s="174"/>
      <c r="O43" s="151"/>
      <c r="P43" s="174" t="str">
        <f t="shared" si="0"/>
        <v/>
      </c>
    </row>
    <row r="44" spans="2:16">
      <c r="B44" s="336"/>
      <c r="C44" s="192"/>
      <c r="D44" s="135"/>
      <c r="E44" s="139"/>
      <c r="F44" s="204" t="str">
        <f>F5</f>
        <v>Utilizing Actual Cost Data for 2017 with Average Ratebase Balances</v>
      </c>
      <c r="G44" s="139"/>
      <c r="H44" s="139"/>
      <c r="I44" s="139"/>
      <c r="J44" s="139"/>
      <c r="K44" s="139"/>
      <c r="L44" s="139"/>
      <c r="M44" s="108"/>
      <c r="N44" s="174"/>
      <c r="O44" s="151"/>
      <c r="P44" s="174" t="str">
        <f t="shared" si="0"/>
        <v/>
      </c>
    </row>
    <row r="45" spans="2:16">
      <c r="B45" s="336"/>
      <c r="C45" s="192"/>
      <c r="D45" s="135"/>
      <c r="E45" s="139"/>
      <c r="F45" s="133"/>
      <c r="G45" s="139"/>
      <c r="H45" s="139"/>
      <c r="I45" s="139"/>
      <c r="J45" s="139"/>
      <c r="K45" s="139"/>
      <c r="L45" s="139"/>
      <c r="M45" s="108"/>
      <c r="N45" s="174"/>
      <c r="O45" s="151"/>
      <c r="P45" s="174" t="str">
        <f t="shared" si="0"/>
        <v/>
      </c>
    </row>
    <row r="46" spans="2:16">
      <c r="B46" s="336"/>
      <c r="C46" s="192"/>
      <c r="D46" s="135"/>
      <c r="E46" s="139"/>
      <c r="F46" s="133" t="str">
        <f>F7</f>
        <v>AEP OKLAHOMA TRANSMISSION COMPANY, INC</v>
      </c>
      <c r="G46" s="139"/>
      <c r="H46" s="139"/>
      <c r="I46" s="139"/>
      <c r="J46" s="139"/>
      <c r="K46" s="139"/>
      <c r="L46" s="139"/>
      <c r="M46" s="108"/>
      <c r="N46" s="174"/>
      <c r="O46" s="151"/>
      <c r="P46" s="174" t="str">
        <f t="shared" si="0"/>
        <v/>
      </c>
    </row>
    <row r="47" spans="2:16">
      <c r="B47" s="336"/>
      <c r="C47" s="192"/>
      <c r="D47" s="135"/>
      <c r="E47" s="204"/>
      <c r="F47" s="204"/>
      <c r="G47" s="204"/>
      <c r="H47" s="204"/>
      <c r="I47" s="204"/>
      <c r="J47" s="204"/>
      <c r="K47" s="204"/>
      <c r="L47" s="139"/>
      <c r="M47" s="108"/>
      <c r="N47" s="174"/>
      <c r="O47" s="151"/>
      <c r="P47" s="174" t="str">
        <f t="shared" si="0"/>
        <v/>
      </c>
    </row>
    <row r="48" spans="2:16">
      <c r="B48" s="336"/>
      <c r="C48" s="192"/>
      <c r="D48" s="133" t="s">
        <v>462</v>
      </c>
      <c r="E48" s="133" t="s">
        <v>461</v>
      </c>
      <c r="F48" s="133"/>
      <c r="G48" s="133" t="s">
        <v>460</v>
      </c>
      <c r="H48" s="139" t="s">
        <v>288</v>
      </c>
      <c r="I48" s="481" t="s">
        <v>459</v>
      </c>
      <c r="J48" s="482"/>
      <c r="K48" s="139"/>
      <c r="L48" s="434" t="s">
        <v>458</v>
      </c>
      <c r="M48" s="108"/>
      <c r="N48" s="334" t="s">
        <v>458</v>
      </c>
      <c r="O48" s="151"/>
      <c r="P48" s="334">
        <f t="shared" si="0"/>
        <v>0</v>
      </c>
    </row>
    <row r="49" spans="2:16">
      <c r="B49" s="104"/>
      <c r="C49" s="192"/>
      <c r="D49" s="108"/>
      <c r="E49" s="337"/>
      <c r="F49" s="108"/>
      <c r="G49" s="255"/>
      <c r="H49" s="139"/>
      <c r="I49" s="139"/>
      <c r="J49" s="333"/>
      <c r="K49" s="139"/>
      <c r="L49" s="192"/>
      <c r="M49" s="108"/>
      <c r="N49" s="242"/>
      <c r="O49" s="151"/>
      <c r="P49" s="242" t="str">
        <f t="shared" si="0"/>
        <v/>
      </c>
    </row>
    <row r="50" spans="2:16" ht="15.75">
      <c r="B50" s="332"/>
      <c r="C50" s="133"/>
      <c r="D50" s="108"/>
      <c r="E50" s="330" t="s">
        <v>524</v>
      </c>
      <c r="F50" s="331"/>
      <c r="G50" s="139"/>
      <c r="H50" s="139"/>
      <c r="I50" s="139"/>
      <c r="J50" s="133"/>
      <c r="K50" s="139"/>
      <c r="L50" s="361" t="s">
        <v>372</v>
      </c>
      <c r="M50" s="108"/>
      <c r="N50" s="360" t="s">
        <v>372</v>
      </c>
      <c r="O50" s="151"/>
      <c r="P50" s="360" t="s">
        <v>372</v>
      </c>
    </row>
    <row r="51" spans="2:16" ht="15.75">
      <c r="B51" s="104"/>
      <c r="C51" s="132"/>
      <c r="D51" s="435" t="s">
        <v>523</v>
      </c>
      <c r="E51" s="359" t="s">
        <v>522</v>
      </c>
      <c r="F51" s="139"/>
      <c r="G51" s="435" t="s">
        <v>521</v>
      </c>
      <c r="H51" s="191"/>
      <c r="I51" s="471" t="s">
        <v>520</v>
      </c>
      <c r="J51" s="472"/>
      <c r="K51" s="191"/>
      <c r="L51" s="435" t="s">
        <v>455</v>
      </c>
      <c r="M51" s="108"/>
      <c r="N51" s="321" t="s">
        <v>455</v>
      </c>
      <c r="O51" s="151"/>
      <c r="P51" s="321" t="s">
        <v>455</v>
      </c>
    </row>
    <row r="52" spans="2:16">
      <c r="B52" s="319" t="str">
        <f>B9</f>
        <v>Line</v>
      </c>
      <c r="C52" s="133"/>
      <c r="D52" s="135"/>
      <c r="E52" s="139"/>
      <c r="F52" s="139"/>
      <c r="G52" s="358" t="s">
        <v>519</v>
      </c>
      <c r="H52" s="139"/>
      <c r="I52" s="139"/>
      <c r="J52" s="139"/>
      <c r="K52" s="139"/>
      <c r="L52" s="139"/>
      <c r="M52" s="108"/>
      <c r="N52" s="174"/>
      <c r="O52" s="151"/>
      <c r="P52" s="174" t="str">
        <f t="shared" ref="P52:P115" si="1">IF(N52="","",N52-L52)</f>
        <v/>
      </c>
    </row>
    <row r="53" spans="2:16" ht="15.75" thickBot="1">
      <c r="B53" s="243" t="str">
        <f>B10</f>
        <v>No.</v>
      </c>
      <c r="C53" s="133"/>
      <c r="D53" s="135" t="s">
        <v>518</v>
      </c>
      <c r="E53" s="234"/>
      <c r="F53" s="234"/>
      <c r="G53" s="131"/>
      <c r="H53" s="131"/>
      <c r="I53" s="175"/>
      <c r="J53" s="131"/>
      <c r="K53" s="131"/>
      <c r="L53" s="131"/>
      <c r="M53" s="108"/>
      <c r="N53" s="174"/>
      <c r="O53" s="151"/>
      <c r="P53" s="174" t="str">
        <f t="shared" si="1"/>
        <v/>
      </c>
    </row>
    <row r="54" spans="2:16">
      <c r="B54" s="134">
        <f>+B35+1</f>
        <v>16</v>
      </c>
      <c r="C54" s="133"/>
      <c r="D54" s="217" t="s">
        <v>374</v>
      </c>
      <c r="E54" s="131"/>
      <c r="F54" s="131"/>
      <c r="G54" s="154"/>
      <c r="H54" s="154"/>
      <c r="I54" s="175"/>
      <c r="J54" s="214"/>
      <c r="K54" s="131"/>
      <c r="L54" s="154"/>
      <c r="M54" s="108"/>
      <c r="N54" s="209"/>
      <c r="O54" s="151"/>
      <c r="P54" s="209" t="str">
        <f t="shared" si="1"/>
        <v/>
      </c>
    </row>
    <row r="55" spans="2:16">
      <c r="B55" s="134">
        <f t="shared" ref="B55:B63" si="2">+B54+1</f>
        <v>17</v>
      </c>
      <c r="C55" s="133"/>
      <c r="D55" s="217" t="s">
        <v>374</v>
      </c>
      <c r="E55" s="131"/>
      <c r="F55" s="131"/>
      <c r="G55" s="154"/>
      <c r="H55" s="154"/>
      <c r="I55" s="175"/>
      <c r="J55" s="214"/>
      <c r="K55" s="131"/>
      <c r="L55" s="154"/>
      <c r="M55" s="108"/>
      <c r="N55" s="209"/>
      <c r="O55" s="151"/>
      <c r="P55" s="209" t="str">
        <f t="shared" si="1"/>
        <v/>
      </c>
    </row>
    <row r="56" spans="2:16">
      <c r="B56" s="134">
        <f t="shared" si="2"/>
        <v>18</v>
      </c>
      <c r="C56" s="338"/>
      <c r="D56" s="353" t="s">
        <v>378</v>
      </c>
      <c r="E56" s="352" t="str">
        <f>"(Worksheet A ln "&amp;'[6]OKT WS A RB Support '!A18&amp;".E &amp; Ln "&amp;B199&amp;")"</f>
        <v>(Worksheet A ln 3.E &amp; Ln 113)</v>
      </c>
      <c r="F56" s="351"/>
      <c r="G56" s="154">
        <f>+'[6]OKT WS A RB Support '!G18</f>
        <v>740877397</v>
      </c>
      <c r="H56" s="154"/>
      <c r="I56" s="311" t="s">
        <v>269</v>
      </c>
      <c r="J56" s="131"/>
      <c r="K56" s="310"/>
      <c r="L56" s="309">
        <f>+L199</f>
        <v>690573409.36000001</v>
      </c>
      <c r="M56" s="108"/>
      <c r="N56" s="308">
        <v>732234850.71627402</v>
      </c>
      <c r="O56" s="151"/>
      <c r="P56" s="308">
        <f t="shared" si="1"/>
        <v>41661441.356274009</v>
      </c>
    </row>
    <row r="57" spans="2:16">
      <c r="B57" s="134">
        <f t="shared" si="2"/>
        <v>19</v>
      </c>
      <c r="C57" s="338"/>
      <c r="D57" s="155" t="s">
        <v>506</v>
      </c>
      <c r="E57" s="131" t="s">
        <v>517</v>
      </c>
      <c r="F57" s="351"/>
      <c r="G57" s="154">
        <f>-+'[6]OKT WS A RB Support '!G20</f>
        <v>0</v>
      </c>
      <c r="H57" s="154"/>
      <c r="I57" s="311" t="s">
        <v>264</v>
      </c>
      <c r="J57" s="214">
        <f>VLOOKUP(I57,PSO_TU_Allocators,2,FALSE)</f>
        <v>0.93210214288667259</v>
      </c>
      <c r="K57" s="310"/>
      <c r="L57" s="309">
        <f>+G57*J57</f>
        <v>0</v>
      </c>
      <c r="M57" s="108"/>
      <c r="N57" s="308">
        <v>0</v>
      </c>
      <c r="O57" s="151"/>
      <c r="P57" s="308">
        <f t="shared" si="1"/>
        <v>0</v>
      </c>
    </row>
    <row r="58" spans="2:16">
      <c r="B58" s="134">
        <f t="shared" si="2"/>
        <v>20</v>
      </c>
      <c r="C58" s="338"/>
      <c r="D58" s="217" t="s">
        <v>374</v>
      </c>
      <c r="E58" s="131"/>
      <c r="F58" s="131"/>
      <c r="G58" s="154"/>
      <c r="H58" s="154"/>
      <c r="I58" s="175"/>
      <c r="J58" s="214"/>
      <c r="K58" s="131"/>
      <c r="L58" s="154"/>
      <c r="M58" s="108"/>
      <c r="N58" s="209"/>
      <c r="O58" s="151"/>
      <c r="P58" s="209" t="str">
        <f t="shared" si="1"/>
        <v/>
      </c>
    </row>
    <row r="59" spans="2:16">
      <c r="B59" s="134">
        <f t="shared" si="2"/>
        <v>21</v>
      </c>
      <c r="C59" s="338"/>
      <c r="D59" s="217" t="s">
        <v>374</v>
      </c>
      <c r="E59" s="131"/>
      <c r="F59" s="131"/>
      <c r="G59" s="154"/>
      <c r="H59" s="154"/>
      <c r="I59" s="175"/>
      <c r="J59" s="214"/>
      <c r="K59" s="131"/>
      <c r="L59" s="154"/>
      <c r="M59" s="108"/>
      <c r="N59" s="209"/>
      <c r="O59" s="151"/>
      <c r="P59" s="209" t="str">
        <f t="shared" si="1"/>
        <v/>
      </c>
    </row>
    <row r="60" spans="2:16">
      <c r="B60" s="134">
        <f t="shared" si="2"/>
        <v>22</v>
      </c>
      <c r="C60" s="338"/>
      <c r="D60" s="135" t="s">
        <v>516</v>
      </c>
      <c r="E60" s="131" t="s">
        <v>515</v>
      </c>
      <c r="F60" s="343"/>
      <c r="G60" s="154">
        <f>+'[6]OKT WS A RB Support '!G26</f>
        <v>17000063.5</v>
      </c>
      <c r="H60" s="154"/>
      <c r="I60" s="175" t="s">
        <v>262</v>
      </c>
      <c r="J60" s="214">
        <f>VLOOKUP(I60,PSO_TU_Allocators,2,FALSE)</f>
        <v>0.9321021428866727</v>
      </c>
      <c r="K60" s="131"/>
      <c r="L60" s="154">
        <f>+J60*G60</f>
        <v>15845795.617559509</v>
      </c>
      <c r="M60" s="108"/>
      <c r="N60" s="209">
        <v>16801752.907424275</v>
      </c>
      <c r="O60" s="151"/>
      <c r="P60" s="209">
        <f t="shared" si="1"/>
        <v>955957.28986476548</v>
      </c>
    </row>
    <row r="61" spans="2:16">
      <c r="B61" s="134">
        <f t="shared" si="2"/>
        <v>23</v>
      </c>
      <c r="C61" s="338"/>
      <c r="D61" s="205" t="s">
        <v>502</v>
      </c>
      <c r="E61" s="131" t="s">
        <v>514</v>
      </c>
      <c r="F61" s="343"/>
      <c r="G61" s="177">
        <f>-'[6]OKT WS A RB Support '!G28</f>
        <v>0</v>
      </c>
      <c r="H61" s="154"/>
      <c r="I61" s="175" t="s">
        <v>262</v>
      </c>
      <c r="J61" s="214">
        <f>VLOOKUP(I61,PSO_TU_Allocators,2,FALSE)</f>
        <v>0.9321021428866727</v>
      </c>
      <c r="K61" s="131"/>
      <c r="L61" s="154">
        <f>+G61*J61</f>
        <v>0</v>
      </c>
      <c r="M61" s="108"/>
      <c r="N61" s="209">
        <v>0</v>
      </c>
      <c r="O61" s="151"/>
      <c r="P61" s="209">
        <f t="shared" si="1"/>
        <v>0</v>
      </c>
    </row>
    <row r="62" spans="2:16" ht="15.75" thickBot="1">
      <c r="B62" s="134">
        <f t="shared" si="2"/>
        <v>24</v>
      </c>
      <c r="C62" s="338"/>
      <c r="D62" s="135" t="s">
        <v>513</v>
      </c>
      <c r="E62" s="131" t="s">
        <v>512</v>
      </c>
      <c r="F62" s="343"/>
      <c r="G62" s="163">
        <f>+'[6]OKT WS A RB Support '!G30</f>
        <v>5121473</v>
      </c>
      <c r="H62" s="154"/>
      <c r="I62" s="175" t="s">
        <v>262</v>
      </c>
      <c r="J62" s="214">
        <f>VLOOKUP(I62,PSO_TU_Allocators,2,FALSE)</f>
        <v>0.9321021428866727</v>
      </c>
      <c r="K62" s="131"/>
      <c r="L62" s="163">
        <f>+J62*G62</f>
        <v>4773735.9580362365</v>
      </c>
      <c r="M62" s="108"/>
      <c r="N62" s="211">
        <v>5061729.5557775367</v>
      </c>
      <c r="O62" s="157"/>
      <c r="P62" s="211">
        <f t="shared" si="1"/>
        <v>287993.59774130024</v>
      </c>
    </row>
    <row r="63" spans="2:16" ht="15.75">
      <c r="B63" s="332">
        <f t="shared" si="2"/>
        <v>25</v>
      </c>
      <c r="C63" s="338"/>
      <c r="D63" s="135" t="s">
        <v>511</v>
      </c>
      <c r="E63" s="133" t="str">
        <f>"(sum lns "&amp;B54&amp;" to "&amp;B62&amp;")"</f>
        <v>(sum lns 16 to 24)</v>
      </c>
      <c r="F63" s="116"/>
      <c r="G63" s="154">
        <f>SUM(G54:G62)</f>
        <v>762998933.5</v>
      </c>
      <c r="H63" s="154"/>
      <c r="I63" s="356" t="s">
        <v>510</v>
      </c>
      <c r="J63" s="346">
        <f>IF(G63=0,0,L63/G63)</f>
        <v>0.93210214288667248</v>
      </c>
      <c r="K63" s="131"/>
      <c r="L63" s="154">
        <f>SUM(L54:L62)</f>
        <v>711192940.93559575</v>
      </c>
      <c r="M63" s="108"/>
      <c r="N63" s="209">
        <v>754098333.1794759</v>
      </c>
      <c r="O63" s="157"/>
      <c r="P63" s="209">
        <f t="shared" si="1"/>
        <v>42905392.243880153</v>
      </c>
    </row>
    <row r="64" spans="2:16" ht="15.75">
      <c r="B64" s="332"/>
      <c r="C64" s="133"/>
      <c r="D64" s="135"/>
      <c r="E64" s="357"/>
      <c r="F64" s="116"/>
      <c r="G64" s="154"/>
      <c r="H64" s="154"/>
      <c r="I64" s="356" t="s">
        <v>509</v>
      </c>
      <c r="J64" s="250">
        <f>+G56/(++G56+G58)</f>
        <v>1</v>
      </c>
      <c r="K64" s="131"/>
      <c r="L64" s="154"/>
      <c r="M64" s="108"/>
      <c r="N64" s="209"/>
      <c r="O64" s="157"/>
      <c r="P64" s="209" t="str">
        <f t="shared" si="1"/>
        <v/>
      </c>
    </row>
    <row r="65" spans="2:16">
      <c r="B65" s="134">
        <f>+B63+1</f>
        <v>26</v>
      </c>
      <c r="C65" s="133"/>
      <c r="D65" s="135" t="s">
        <v>508</v>
      </c>
      <c r="E65" s="234"/>
      <c r="F65" s="234"/>
      <c r="G65" s="154"/>
      <c r="H65" s="355"/>
      <c r="I65" s="175"/>
      <c r="J65" s="354"/>
      <c r="K65" s="131"/>
      <c r="L65" s="154"/>
      <c r="M65" s="108"/>
      <c r="N65" s="209"/>
      <c r="O65" s="269"/>
      <c r="P65" s="209" t="str">
        <f t="shared" si="1"/>
        <v/>
      </c>
    </row>
    <row r="66" spans="2:16">
      <c r="B66" s="134">
        <f t="shared" ref="B66:B75" si="3">+B65+1</f>
        <v>27</v>
      </c>
      <c r="C66" s="133"/>
      <c r="D66" s="217" t="s">
        <v>374</v>
      </c>
      <c r="E66" s="131"/>
      <c r="F66" s="131"/>
      <c r="G66" s="154"/>
      <c r="H66" s="154"/>
      <c r="I66" s="175"/>
      <c r="J66" s="214"/>
      <c r="K66" s="131"/>
      <c r="L66" s="154"/>
      <c r="M66" s="108"/>
      <c r="N66" s="209"/>
      <c r="O66" s="269"/>
      <c r="P66" s="209" t="str">
        <f t="shared" si="1"/>
        <v/>
      </c>
    </row>
    <row r="67" spans="2:16">
      <c r="B67" s="134">
        <f t="shared" si="3"/>
        <v>28</v>
      </c>
      <c r="C67" s="133"/>
      <c r="D67" s="217" t="s">
        <v>374</v>
      </c>
      <c r="E67" s="131"/>
      <c r="F67" s="131"/>
      <c r="G67" s="154"/>
      <c r="H67" s="154"/>
      <c r="I67" s="175"/>
      <c r="J67" s="214"/>
      <c r="K67" s="131"/>
      <c r="L67" s="154"/>
      <c r="M67" s="108"/>
      <c r="N67" s="209"/>
      <c r="O67" s="269"/>
      <c r="P67" s="209" t="str">
        <f t="shared" si="1"/>
        <v/>
      </c>
    </row>
    <row r="68" spans="2:16" ht="15.75">
      <c r="B68" s="134">
        <f t="shared" si="3"/>
        <v>29</v>
      </c>
      <c r="C68" s="338"/>
      <c r="D68" s="353" t="str">
        <f>D56</f>
        <v xml:space="preserve">  Transmission</v>
      </c>
      <c r="E68" s="352" t="s">
        <v>507</v>
      </c>
      <c r="F68" s="351"/>
      <c r="G68" s="309">
        <f>+'[6]OKT WS A RB Support '!G42</f>
        <v>35210555.055</v>
      </c>
      <c r="H68" s="154"/>
      <c r="I68" s="350" t="s">
        <v>504</v>
      </c>
      <c r="J68" s="313">
        <f>IF(G68=0,0,L68/G68)</f>
        <v>1</v>
      </c>
      <c r="K68" s="310"/>
      <c r="L68" s="154">
        <f>+'[6]OKT WS A RB Support '!G74</f>
        <v>35210555.055</v>
      </c>
      <c r="M68" s="108"/>
      <c r="N68" s="209">
        <v>37201590.5</v>
      </c>
      <c r="O68" s="269"/>
      <c r="P68" s="209">
        <f t="shared" si="1"/>
        <v>1991035.4450000003</v>
      </c>
    </row>
    <row r="69" spans="2:16" ht="15.75">
      <c r="B69" s="134">
        <f t="shared" si="3"/>
        <v>30</v>
      </c>
      <c r="C69" s="338"/>
      <c r="D69" s="205" t="s">
        <v>506</v>
      </c>
      <c r="E69" s="131" t="s">
        <v>505</v>
      </c>
      <c r="F69" s="351"/>
      <c r="G69" s="177">
        <f>-'[6]OKT WS A RB Support '!G44</f>
        <v>0</v>
      </c>
      <c r="H69" s="154"/>
      <c r="I69" s="350" t="s">
        <v>504</v>
      </c>
      <c r="J69" s="214">
        <f>+J68</f>
        <v>1</v>
      </c>
      <c r="K69" s="310"/>
      <c r="L69" s="154">
        <f>+J69*G69</f>
        <v>0</v>
      </c>
      <c r="M69" s="108"/>
      <c r="N69" s="209">
        <v>0</v>
      </c>
      <c r="O69" s="269"/>
      <c r="P69" s="209">
        <f t="shared" si="1"/>
        <v>0</v>
      </c>
    </row>
    <row r="70" spans="2:16">
      <c r="B70" s="134">
        <f t="shared" si="3"/>
        <v>31</v>
      </c>
      <c r="C70" s="338"/>
      <c r="D70" s="217" t="s">
        <v>374</v>
      </c>
      <c r="E70" s="131"/>
      <c r="F70" s="131"/>
      <c r="G70" s="154"/>
      <c r="H70" s="154"/>
      <c r="I70" s="175"/>
      <c r="J70" s="214"/>
      <c r="K70" s="131"/>
      <c r="L70" s="154"/>
      <c r="M70" s="108"/>
      <c r="N70" s="209"/>
      <c r="O70" s="269"/>
      <c r="P70" s="209" t="str">
        <f t="shared" si="1"/>
        <v/>
      </c>
    </row>
    <row r="71" spans="2:16">
      <c r="B71" s="134">
        <f t="shared" si="3"/>
        <v>32</v>
      </c>
      <c r="C71" s="338"/>
      <c r="D71" s="217" t="s">
        <v>374</v>
      </c>
      <c r="E71" s="131"/>
      <c r="F71" s="131"/>
      <c r="G71" s="154"/>
      <c r="H71" s="154"/>
      <c r="I71" s="175"/>
      <c r="J71" s="214"/>
      <c r="K71" s="131"/>
      <c r="L71" s="154"/>
      <c r="M71" s="108"/>
      <c r="N71" s="209"/>
      <c r="O71" s="269"/>
      <c r="P71" s="209" t="str">
        <f t="shared" si="1"/>
        <v/>
      </c>
    </row>
    <row r="72" spans="2:16">
      <c r="B72" s="134">
        <f t="shared" si="3"/>
        <v>33</v>
      </c>
      <c r="C72" s="341"/>
      <c r="D72" s="119" t="str">
        <f>+D60</f>
        <v xml:space="preserve">  General Plant   </v>
      </c>
      <c r="E72" s="131" t="s">
        <v>503</v>
      </c>
      <c r="F72" s="343"/>
      <c r="G72" s="237">
        <f>+'[6]OKT WS A RB Support '!G50</f>
        <v>49198</v>
      </c>
      <c r="H72" s="154"/>
      <c r="I72" s="175" t="s">
        <v>262</v>
      </c>
      <c r="J72" s="214">
        <f>VLOOKUP(I72,PSO_TU_Allocators,2,FALSE)</f>
        <v>0.9321021428866727</v>
      </c>
      <c r="K72" s="131"/>
      <c r="L72" s="154">
        <f>+J72*G72</f>
        <v>45857.561225738522</v>
      </c>
      <c r="M72" s="108"/>
      <c r="N72" s="209">
        <v>48624.091288803676</v>
      </c>
      <c r="O72" s="269"/>
      <c r="P72" s="209">
        <f t="shared" si="1"/>
        <v>2766.5300630651545</v>
      </c>
    </row>
    <row r="73" spans="2:16">
      <c r="B73" s="134">
        <f t="shared" si="3"/>
        <v>34</v>
      </c>
      <c r="C73" s="341"/>
      <c r="D73" s="205" t="s">
        <v>502</v>
      </c>
      <c r="E73" s="131" t="s">
        <v>501</v>
      </c>
      <c r="F73" s="343"/>
      <c r="G73" s="177">
        <f>-'[6]OKT WS A RB Support '!G52</f>
        <v>0</v>
      </c>
      <c r="H73" s="154"/>
      <c r="I73" s="175" t="s">
        <v>262</v>
      </c>
      <c r="J73" s="214">
        <f>VLOOKUP(I73,PSO_TU_Allocators,2,FALSE)</f>
        <v>0.9321021428866727</v>
      </c>
      <c r="K73" s="131"/>
      <c r="L73" s="154">
        <f>+J73*G73</f>
        <v>0</v>
      </c>
      <c r="M73" s="108"/>
      <c r="N73" s="209">
        <v>0</v>
      </c>
      <c r="O73" s="269"/>
      <c r="P73" s="209">
        <f t="shared" si="1"/>
        <v>0</v>
      </c>
    </row>
    <row r="74" spans="2:16" ht="15.75" thickBot="1">
      <c r="B74" s="134">
        <f t="shared" si="3"/>
        <v>35</v>
      </c>
      <c r="C74" s="341"/>
      <c r="D74" s="119" t="str">
        <f>+D62</f>
        <v xml:space="preserve">  Intangible Plant</v>
      </c>
      <c r="E74" s="131" t="s">
        <v>500</v>
      </c>
      <c r="F74" s="343"/>
      <c r="G74" s="163">
        <f>+'[6]OKT WS A RB Support '!G54</f>
        <v>1646266</v>
      </c>
      <c r="H74" s="154"/>
      <c r="I74" s="175" t="s">
        <v>262</v>
      </c>
      <c r="J74" s="214">
        <f>VLOOKUP(I74,PSO_TU_Allocators,2,FALSE)</f>
        <v>0.9321021428866727</v>
      </c>
      <c r="K74" s="131"/>
      <c r="L74" s="163">
        <f>+J74*G74</f>
        <v>1534488.0663614711</v>
      </c>
      <c r="M74" s="108"/>
      <c r="N74" s="211">
        <v>1627061.8372627683</v>
      </c>
      <c r="O74" s="269"/>
      <c r="P74" s="211">
        <f t="shared" si="1"/>
        <v>92573.770901297219</v>
      </c>
    </row>
    <row r="75" spans="2:16">
      <c r="B75" s="134">
        <f t="shared" si="3"/>
        <v>36</v>
      </c>
      <c r="C75" s="341"/>
      <c r="D75" s="119" t="s">
        <v>499</v>
      </c>
      <c r="E75" s="349" t="str">
        <f>"(sum lns "&amp;B66&amp;" to "&amp;B74&amp;")"</f>
        <v>(sum lns 27 to 35)</v>
      </c>
      <c r="F75" s="433"/>
      <c r="G75" s="154">
        <f>SUM(G66:G74)</f>
        <v>36906019.055</v>
      </c>
      <c r="H75" s="154"/>
      <c r="I75" s="175"/>
      <c r="J75" s="131"/>
      <c r="K75" s="154"/>
      <c r="L75" s="154">
        <f>SUM(L66:L74)</f>
        <v>36790900.682587214</v>
      </c>
      <c r="M75" s="108"/>
      <c r="N75" s="209">
        <v>38877276.42855157</v>
      </c>
      <c r="O75" s="269"/>
      <c r="P75" s="209">
        <f t="shared" si="1"/>
        <v>2086375.7459643558</v>
      </c>
    </row>
    <row r="76" spans="2:16">
      <c r="B76" s="134"/>
      <c r="C76" s="133"/>
      <c r="D76" s="192"/>
      <c r="E76" s="348"/>
      <c r="F76" s="433"/>
      <c r="G76" s="154"/>
      <c r="H76" s="154"/>
      <c r="I76" s="175"/>
      <c r="J76" s="344"/>
      <c r="K76" s="131"/>
      <c r="L76" s="154"/>
      <c r="M76" s="108"/>
      <c r="N76" s="209"/>
      <c r="O76" s="269"/>
      <c r="P76" s="209" t="str">
        <f t="shared" si="1"/>
        <v/>
      </c>
    </row>
    <row r="77" spans="2:16">
      <c r="B77" s="134">
        <f>+B75+1</f>
        <v>37</v>
      </c>
      <c r="C77" s="133"/>
      <c r="D77" s="135" t="s">
        <v>498</v>
      </c>
      <c r="E77" s="234"/>
      <c r="F77" s="234"/>
      <c r="G77" s="154"/>
      <c r="H77" s="154"/>
      <c r="I77" s="175"/>
      <c r="J77" s="131"/>
      <c r="K77" s="131"/>
      <c r="L77" s="154"/>
      <c r="M77" s="108"/>
      <c r="N77" s="209"/>
      <c r="O77" s="269"/>
      <c r="P77" s="209" t="str">
        <f t="shared" si="1"/>
        <v/>
      </c>
    </row>
    <row r="78" spans="2:16">
      <c r="B78" s="332">
        <f t="shared" ref="B78:B83" si="4">+B77+1</f>
        <v>38</v>
      </c>
      <c r="C78" s="338"/>
      <c r="D78" s="217" t="s">
        <v>374</v>
      </c>
      <c r="E78" s="131"/>
      <c r="F78" s="131"/>
      <c r="G78" s="154"/>
      <c r="H78" s="154"/>
      <c r="I78" s="175"/>
      <c r="J78" s="214"/>
      <c r="K78" s="131"/>
      <c r="L78" s="154"/>
      <c r="M78" s="108"/>
      <c r="N78" s="209"/>
      <c r="O78" s="269"/>
      <c r="P78" s="209" t="str">
        <f t="shared" si="1"/>
        <v/>
      </c>
    </row>
    <row r="79" spans="2:16">
      <c r="B79" s="332">
        <f t="shared" si="4"/>
        <v>39</v>
      </c>
      <c r="C79" s="338"/>
      <c r="D79" s="205" t="str">
        <f>+D68</f>
        <v xml:space="preserve">  Transmission</v>
      </c>
      <c r="E79" s="131" t="str">
        <f>" (ln "&amp;B56&amp;" + ln "&amp;B57&amp;" - ln "&amp;B68&amp;" - ln "&amp;B69&amp;")"</f>
        <v xml:space="preserve"> (ln 18 + ln 19 - ln 29 - ln 30)</v>
      </c>
      <c r="F79" s="343"/>
      <c r="G79" s="154">
        <f>+G56+G57-G68-G69</f>
        <v>705666841.94500005</v>
      </c>
      <c r="H79" s="154"/>
      <c r="I79" s="175"/>
      <c r="J79" s="313"/>
      <c r="K79" s="131"/>
      <c r="L79" s="154">
        <f>+L56+L57-L68-L69</f>
        <v>655362854.30500007</v>
      </c>
      <c r="M79" s="108"/>
      <c r="N79" s="209">
        <v>695033260.21627402</v>
      </c>
      <c r="O79" s="269"/>
      <c r="P79" s="209">
        <f t="shared" si="1"/>
        <v>39670405.911273956</v>
      </c>
    </row>
    <row r="80" spans="2:16">
      <c r="B80" s="332">
        <f t="shared" si="4"/>
        <v>40</v>
      </c>
      <c r="C80" s="338"/>
      <c r="D80" s="217" t="s">
        <v>374</v>
      </c>
      <c r="E80" s="131"/>
      <c r="F80" s="131"/>
      <c r="G80" s="154"/>
      <c r="H80" s="154"/>
      <c r="I80" s="175"/>
      <c r="J80" s="214"/>
      <c r="K80" s="131"/>
      <c r="L80" s="154"/>
      <c r="M80" s="108"/>
      <c r="N80" s="209"/>
      <c r="O80" s="269"/>
      <c r="P80" s="209" t="str">
        <f t="shared" si="1"/>
        <v/>
      </c>
    </row>
    <row r="81" spans="2:16">
      <c r="B81" s="332">
        <f t="shared" si="4"/>
        <v>41</v>
      </c>
      <c r="C81" s="338"/>
      <c r="D81" s="205" t="str">
        <f>+D72</f>
        <v xml:space="preserve">  General Plant   </v>
      </c>
      <c r="E81" s="131" t="str">
        <f>" (ln "&amp;B60&amp;" + ln "&amp;B61&amp;" - ln "&amp;B72&amp;" - ln "&amp;B73&amp;")"</f>
        <v xml:space="preserve"> (ln 22 + ln 23 - ln 33 - ln 34)</v>
      </c>
      <c r="F81" s="131"/>
      <c r="G81" s="154">
        <f>+G60+G61-G72-G73</f>
        <v>16950865.5</v>
      </c>
      <c r="H81" s="154"/>
      <c r="I81" s="175"/>
      <c r="J81" s="344"/>
      <c r="K81" s="131"/>
      <c r="L81" s="154">
        <f>+L60+L61-L72-L73</f>
        <v>15799938.056333771</v>
      </c>
      <c r="M81" s="108"/>
      <c r="N81" s="209">
        <v>16753128.816135472</v>
      </c>
      <c r="O81" s="269"/>
      <c r="P81" s="209">
        <f t="shared" si="1"/>
        <v>953190.75980170071</v>
      </c>
    </row>
    <row r="82" spans="2:16" ht="15.75" thickBot="1">
      <c r="B82" s="332">
        <f t="shared" si="4"/>
        <v>42</v>
      </c>
      <c r="C82" s="338"/>
      <c r="D82" s="205" t="str">
        <f>+D74</f>
        <v xml:space="preserve">  Intangible Plant</v>
      </c>
      <c r="E82" s="131" t="str">
        <f>" (ln "&amp;B62&amp;" - ln "&amp;B74&amp;")"</f>
        <v xml:space="preserve"> (ln 24 - ln 35)</v>
      </c>
      <c r="F82" s="131"/>
      <c r="G82" s="163">
        <f>+G62-G74</f>
        <v>3475207</v>
      </c>
      <c r="H82" s="154"/>
      <c r="I82" s="175"/>
      <c r="J82" s="344"/>
      <c r="K82" s="131"/>
      <c r="L82" s="163">
        <f>+L62-L74</f>
        <v>3239247.8916747654</v>
      </c>
      <c r="M82" s="108"/>
      <c r="N82" s="211">
        <v>3434667.7185147684</v>
      </c>
      <c r="O82" s="269"/>
      <c r="P82" s="211">
        <f t="shared" si="1"/>
        <v>195419.82684000302</v>
      </c>
    </row>
    <row r="83" spans="2:16" ht="15.75">
      <c r="B83" s="332">
        <f t="shared" si="4"/>
        <v>43</v>
      </c>
      <c r="C83" s="338"/>
      <c r="D83" s="205" t="s">
        <v>497</v>
      </c>
      <c r="E83" s="205" t="str">
        <f>"(sum lns "&amp;B78&amp;" to "&amp;B82&amp;")"</f>
        <v>(sum lns 38 to 42)</v>
      </c>
      <c r="F83" s="131"/>
      <c r="G83" s="154">
        <f>SUM(G78:G82)</f>
        <v>726092914.44500005</v>
      </c>
      <c r="H83" s="154"/>
      <c r="I83" s="153" t="s">
        <v>496</v>
      </c>
      <c r="J83" s="346">
        <f>IF(G83=0,0,L83/G83)</f>
        <v>0.92880955981852253</v>
      </c>
      <c r="K83" s="131"/>
      <c r="L83" s="154">
        <f>SUM(L79:L82)</f>
        <v>674402040.2530086</v>
      </c>
      <c r="M83" s="108"/>
      <c r="N83" s="209">
        <v>715221056.75092435</v>
      </c>
      <c r="O83" s="269"/>
      <c r="P83" s="209">
        <f t="shared" si="1"/>
        <v>40819016.497915745</v>
      </c>
    </row>
    <row r="84" spans="2:16">
      <c r="B84" s="134"/>
      <c r="C84" s="133"/>
      <c r="D84" s="135"/>
      <c r="E84" s="131"/>
      <c r="F84" s="131"/>
      <c r="G84" s="154"/>
      <c r="H84" s="154"/>
      <c r="I84" s="120"/>
      <c r="J84" s="126"/>
      <c r="K84" s="131"/>
      <c r="L84" s="154"/>
      <c r="M84" s="108"/>
      <c r="N84" s="209"/>
      <c r="O84" s="269"/>
      <c r="P84" s="209" t="str">
        <f t="shared" si="1"/>
        <v/>
      </c>
    </row>
    <row r="85" spans="2:16">
      <c r="B85" s="134"/>
      <c r="C85" s="133"/>
      <c r="D85" s="192"/>
      <c r="G85" s="108"/>
      <c r="H85" s="108"/>
      <c r="I85" s="108"/>
      <c r="J85" s="108"/>
      <c r="K85" s="108"/>
      <c r="L85" s="108"/>
      <c r="M85" s="108"/>
      <c r="N85" s="317"/>
      <c r="O85" s="269"/>
      <c r="P85" s="317" t="str">
        <f t="shared" si="1"/>
        <v/>
      </c>
    </row>
    <row r="86" spans="2:16">
      <c r="B86" s="134">
        <f>+B83+1</f>
        <v>44</v>
      </c>
      <c r="C86" s="133"/>
      <c r="D86" s="135" t="s">
        <v>495</v>
      </c>
      <c r="E86" s="131" t="s">
        <v>494</v>
      </c>
      <c r="F86" s="175"/>
      <c r="G86" s="108"/>
      <c r="H86" s="108"/>
      <c r="I86" s="108"/>
      <c r="J86" s="108"/>
      <c r="K86" s="108"/>
      <c r="L86" s="108"/>
      <c r="M86" s="108"/>
      <c r="N86" s="317"/>
      <c r="O86" s="269"/>
      <c r="P86" s="317" t="str">
        <f t="shared" si="1"/>
        <v/>
      </c>
    </row>
    <row r="87" spans="2:16">
      <c r="B87" s="332">
        <f t="shared" ref="B87:B92" si="5">+B86+1</f>
        <v>45</v>
      </c>
      <c r="C87" s="338"/>
      <c r="D87" s="155" t="s">
        <v>493</v>
      </c>
      <c r="E87" s="131" t="s">
        <v>492</v>
      </c>
      <c r="F87" s="131"/>
      <c r="G87" s="154">
        <f>+'[6]OKT Historic TCOS'!G97</f>
        <v>0</v>
      </c>
      <c r="H87" s="154"/>
      <c r="I87" s="175" t="s">
        <v>266</v>
      </c>
      <c r="J87" s="214"/>
      <c r="K87" s="131"/>
      <c r="L87" s="154">
        <v>0</v>
      </c>
      <c r="M87" s="108"/>
      <c r="N87" s="209">
        <v>0</v>
      </c>
      <c r="O87" s="269"/>
      <c r="P87" s="209">
        <f t="shared" si="1"/>
        <v>0</v>
      </c>
    </row>
    <row r="88" spans="2:16">
      <c r="B88" s="332">
        <f t="shared" si="5"/>
        <v>46</v>
      </c>
      <c r="C88" s="338"/>
      <c r="D88" s="155" t="s">
        <v>491</v>
      </c>
      <c r="E88" s="131" t="s">
        <v>490</v>
      </c>
      <c r="F88" s="343"/>
      <c r="G88" s="154">
        <f>+'[6]OKT WS C RB Tax'!D27</f>
        <v>-138967187.20499998</v>
      </c>
      <c r="H88" s="154"/>
      <c r="I88" s="175" t="s">
        <v>269</v>
      </c>
      <c r="J88" s="214"/>
      <c r="K88" s="131"/>
      <c r="L88" s="154">
        <f>+'[6]OKT WS C RB Tax'!J29</f>
        <v>-128929826.8780814</v>
      </c>
      <c r="M88" s="108"/>
      <c r="N88" s="209">
        <v>-138949542.61615685</v>
      </c>
      <c r="O88" s="269"/>
      <c r="P88" s="209">
        <f t="shared" si="1"/>
        <v>-10019715.73807545</v>
      </c>
    </row>
    <row r="89" spans="2:16">
      <c r="B89" s="332">
        <f t="shared" si="5"/>
        <v>47</v>
      </c>
      <c r="C89" s="338"/>
      <c r="D89" s="155" t="s">
        <v>489</v>
      </c>
      <c r="E89" s="131" t="s">
        <v>488</v>
      </c>
      <c r="F89" s="343"/>
      <c r="G89" s="154">
        <f>+'[6]OKT WS C RB Tax'!D44</f>
        <v>-30082607.450000003</v>
      </c>
      <c r="H89" s="154"/>
      <c r="I89" s="175" t="s">
        <v>269</v>
      </c>
      <c r="J89" s="214"/>
      <c r="K89" s="131"/>
      <c r="L89" s="154">
        <f>+'[6]OKT WS C RB Tax'!J46</f>
        <v>-24402326.359999999</v>
      </c>
      <c r="M89" s="108"/>
      <c r="N89" s="209">
        <v>-24402326.359999999</v>
      </c>
      <c r="O89" s="269"/>
      <c r="P89" s="209">
        <f t="shared" si="1"/>
        <v>0</v>
      </c>
    </row>
    <row r="90" spans="2:16">
      <c r="B90" s="332">
        <f t="shared" si="5"/>
        <v>48</v>
      </c>
      <c r="C90" s="338"/>
      <c r="D90" s="155" t="s">
        <v>487</v>
      </c>
      <c r="E90" s="131" t="s">
        <v>486</v>
      </c>
      <c r="F90" s="343"/>
      <c r="G90" s="154">
        <f>+'[6]OKT WS C RB Tax'!D62</f>
        <v>26611160.739999998</v>
      </c>
      <c r="H90" s="154"/>
      <c r="I90" s="175" t="s">
        <v>269</v>
      </c>
      <c r="J90" s="214"/>
      <c r="K90" s="131"/>
      <c r="L90" s="154">
        <f>+'[6]OKT WS C RB Tax'!J64</f>
        <v>10169596.981641255</v>
      </c>
      <c r="M90" s="108"/>
      <c r="N90" s="209">
        <v>10172950.07534682</v>
      </c>
      <c r="O90" s="269"/>
      <c r="P90" s="209">
        <f t="shared" si="1"/>
        <v>3353.0937055647373</v>
      </c>
    </row>
    <row r="91" spans="2:16" ht="15.75" thickBot="1">
      <c r="B91" s="332">
        <f t="shared" si="5"/>
        <v>49</v>
      </c>
      <c r="C91" s="338"/>
      <c r="D91" s="276" t="s">
        <v>485</v>
      </c>
      <c r="E91" s="131" t="s">
        <v>484</v>
      </c>
      <c r="F91" s="345"/>
      <c r="G91" s="163">
        <f>+'[6]OKT WS C RB Tax'!D79</f>
        <v>0</v>
      </c>
      <c r="H91" s="154"/>
      <c r="I91" s="175" t="s">
        <v>269</v>
      </c>
      <c r="J91" s="214"/>
      <c r="K91" s="131"/>
      <c r="L91" s="163">
        <f>+'[6]OKT WS C RB Tax'!J81</f>
        <v>0</v>
      </c>
      <c r="M91" s="108"/>
      <c r="N91" s="211">
        <v>0</v>
      </c>
      <c r="O91" s="269"/>
      <c r="P91" s="211">
        <f t="shared" si="1"/>
        <v>0</v>
      </c>
    </row>
    <row r="92" spans="2:16">
      <c r="B92" s="332">
        <f t="shared" si="5"/>
        <v>50</v>
      </c>
      <c r="C92" s="338"/>
      <c r="D92" s="205" t="s">
        <v>483</v>
      </c>
      <c r="E92" s="205" t="str">
        <f>"(sum lns "&amp;B87&amp;" to "&amp;B91&amp;")"</f>
        <v>(sum lns 45 to 49)</v>
      </c>
      <c r="F92" s="131"/>
      <c r="G92" s="154">
        <f>SUM(G87:G91)</f>
        <v>-142438633.91499996</v>
      </c>
      <c r="H92" s="143"/>
      <c r="I92" s="175"/>
      <c r="J92" s="166"/>
      <c r="K92" s="131"/>
      <c r="L92" s="154">
        <f>SUM(L87:L91)</f>
        <v>-143162556.25644013</v>
      </c>
      <c r="M92" s="108"/>
      <c r="N92" s="209">
        <v>-153178918.90081</v>
      </c>
      <c r="O92" s="151"/>
      <c r="P92" s="209">
        <f t="shared" si="1"/>
        <v>-10016362.64436987</v>
      </c>
    </row>
    <row r="93" spans="2:16">
      <c r="B93" s="134"/>
      <c r="C93" s="133"/>
      <c r="D93" s="205"/>
      <c r="E93" s="131"/>
      <c r="F93" s="131"/>
      <c r="G93" s="154"/>
      <c r="H93" s="143"/>
      <c r="I93" s="175"/>
      <c r="J93" s="344"/>
      <c r="K93" s="131"/>
      <c r="L93" s="154"/>
      <c r="M93" s="108"/>
      <c r="N93" s="209"/>
      <c r="O93" s="151"/>
      <c r="P93" s="209" t="str">
        <f t="shared" si="1"/>
        <v/>
      </c>
    </row>
    <row r="94" spans="2:16">
      <c r="B94" s="134">
        <f>+B92+1</f>
        <v>51</v>
      </c>
      <c r="C94" s="133"/>
      <c r="D94" s="205" t="s">
        <v>482</v>
      </c>
      <c r="E94" s="131" t="s">
        <v>481</v>
      </c>
      <c r="F94" s="131"/>
      <c r="G94" s="154">
        <f>+'[6]OKT WS A RB Support '!G78</f>
        <v>0</v>
      </c>
      <c r="H94" s="143"/>
      <c r="I94" s="175" t="s">
        <v>269</v>
      </c>
      <c r="J94" s="214"/>
      <c r="K94" s="131"/>
      <c r="L94" s="154">
        <f>+'[6]OKT WS A RB Support '!G80</f>
        <v>0</v>
      </c>
      <c r="M94" s="108"/>
      <c r="N94" s="209">
        <v>0</v>
      </c>
      <c r="O94" s="151"/>
      <c r="P94" s="209">
        <f t="shared" si="1"/>
        <v>0</v>
      </c>
    </row>
    <row r="95" spans="2:16">
      <c r="B95" s="134"/>
      <c r="C95" s="133"/>
      <c r="D95" s="205"/>
      <c r="E95" s="131"/>
      <c r="F95" s="131"/>
      <c r="G95" s="154"/>
      <c r="H95" s="143"/>
      <c r="I95" s="175"/>
      <c r="J95" s="214"/>
      <c r="K95" s="131"/>
      <c r="L95" s="154"/>
      <c r="M95" s="108"/>
      <c r="N95" s="209"/>
      <c r="O95" s="151"/>
      <c r="P95" s="209" t="str">
        <f t="shared" si="1"/>
        <v/>
      </c>
    </row>
    <row r="96" spans="2:16" s="105" customFormat="1">
      <c r="B96" s="115" t="s">
        <v>480</v>
      </c>
      <c r="C96" s="114"/>
      <c r="D96" s="155" t="s">
        <v>479</v>
      </c>
      <c r="E96" s="131" t="str">
        <f>"(Worksheet A ln "&amp;'[6]OKT WS A RB Support '!A96&amp;". "&amp;'[6]OKT WS A RB Support '!G6&amp;")"</f>
        <v>(Worksheet A ln NOTE 1 . (E))</v>
      </c>
      <c r="F96" s="131"/>
      <c r="G96" s="154">
        <f>'[6]OKT WS A RB Support '!G96</f>
        <v>0</v>
      </c>
      <c r="H96" s="304"/>
      <c r="I96" s="175" t="s">
        <v>269</v>
      </c>
      <c r="J96" s="214"/>
      <c r="K96" s="131"/>
      <c r="L96" s="154">
        <f>+G96</f>
        <v>0</v>
      </c>
      <c r="M96" s="304"/>
      <c r="N96" s="209">
        <v>0</v>
      </c>
      <c r="O96" s="151"/>
      <c r="P96" s="209">
        <f t="shared" si="1"/>
        <v>0</v>
      </c>
    </row>
    <row r="97" spans="1:16">
      <c r="B97" s="134"/>
      <c r="C97" s="133"/>
      <c r="D97" s="205"/>
      <c r="E97" s="131"/>
      <c r="F97" s="131"/>
      <c r="G97" s="154"/>
      <c r="H97" s="143"/>
      <c r="I97" s="175"/>
      <c r="J97" s="214"/>
      <c r="K97" s="131"/>
      <c r="L97" s="154"/>
      <c r="M97" s="108"/>
      <c r="N97" s="209"/>
      <c r="O97" s="151"/>
      <c r="P97" s="209" t="str">
        <f t="shared" si="1"/>
        <v/>
      </c>
    </row>
    <row r="98" spans="1:16">
      <c r="B98" s="134">
        <f>+B94+1</f>
        <v>52</v>
      </c>
      <c r="C98" s="133"/>
      <c r="D98" s="205" t="s">
        <v>478</v>
      </c>
      <c r="E98" s="131" t="s">
        <v>477</v>
      </c>
      <c r="F98" s="131"/>
      <c r="G98" s="154"/>
      <c r="H98" s="143"/>
      <c r="I98" s="175"/>
      <c r="J98" s="131"/>
      <c r="K98" s="131"/>
      <c r="L98" s="154"/>
      <c r="M98" s="108"/>
      <c r="N98" s="209"/>
      <c r="O98" s="151"/>
      <c r="P98" s="209" t="str">
        <f t="shared" si="1"/>
        <v/>
      </c>
    </row>
    <row r="99" spans="1:16">
      <c r="B99" s="332">
        <f t="shared" ref="B99:B107" si="6">+B98+1</f>
        <v>53</v>
      </c>
      <c r="C99" s="338"/>
      <c r="D99" s="205" t="s">
        <v>476</v>
      </c>
      <c r="E99" s="120" t="str">
        <f>"(1/8 * ln "&amp;B130&amp;") (Note G)"</f>
        <v>(1/8 * ln 68) (Note G)</v>
      </c>
      <c r="F99" s="120"/>
      <c r="G99" s="154">
        <f>+G130/8</f>
        <v>1044747.25</v>
      </c>
      <c r="H99" s="131"/>
      <c r="I99" s="175"/>
      <c r="J99" s="344"/>
      <c r="K99" s="131"/>
      <c r="L99" s="154">
        <f>+L130/8</f>
        <v>973811.1504999582</v>
      </c>
      <c r="M99" s="108"/>
      <c r="N99" s="209">
        <v>1032559.9751560349</v>
      </c>
      <c r="O99" s="151"/>
      <c r="P99" s="209">
        <f t="shared" si="1"/>
        <v>58748.824656076729</v>
      </c>
    </row>
    <row r="100" spans="1:16">
      <c r="B100" s="342">
        <f t="shared" si="6"/>
        <v>54</v>
      </c>
      <c r="C100" s="341"/>
      <c r="D100" s="205" t="s">
        <v>475</v>
      </c>
      <c r="E100" s="131" t="str">
        <f>"(Worksheet D, ln "&amp;'[6]OKT WS D Working Capital'!A15&amp;"."&amp;'[6]OKT WS D Working Capital'!I$6&amp;")"</f>
        <v>(Worksheet D, ln 2.(F))</v>
      </c>
      <c r="F100" s="343"/>
      <c r="G100" s="154">
        <f>+'[6]OKT WS D Working Capital'!I15</f>
        <v>0</v>
      </c>
      <c r="H100" s="108"/>
      <c r="I100" s="204" t="s">
        <v>264</v>
      </c>
      <c r="J100" s="214">
        <f t="shared" ref="J100:J106" si="7">VLOOKUP(I100,PSO_TU_Allocators,2,FALSE)</f>
        <v>0.93210214288667259</v>
      </c>
      <c r="K100" s="139"/>
      <c r="L100" s="210">
        <f>+J100*G100</f>
        <v>0</v>
      </c>
      <c r="M100" s="108"/>
      <c r="N100" s="209">
        <v>0</v>
      </c>
      <c r="O100" s="151"/>
      <c r="P100" s="209">
        <f t="shared" si="1"/>
        <v>0</v>
      </c>
    </row>
    <row r="101" spans="1:16">
      <c r="B101" s="342">
        <f t="shared" si="6"/>
        <v>55</v>
      </c>
      <c r="C101" s="341"/>
      <c r="D101" s="205" t="s">
        <v>474</v>
      </c>
      <c r="E101" s="131" t="str">
        <f>"(Worksheet D, ln "&amp;'[6]OKT WS D Working Capital'!A17&amp;"."&amp;'[6]OKT WS D Working Capital'!I$6&amp;")"</f>
        <v>(Worksheet D, ln 3.(F))</v>
      </c>
      <c r="F101" s="343"/>
      <c r="G101" s="154">
        <f>+'[6]OKT WS D Working Capital'!I17</f>
        <v>0</v>
      </c>
      <c r="H101" s="108"/>
      <c r="I101" s="204" t="s">
        <v>262</v>
      </c>
      <c r="J101" s="214">
        <f t="shared" si="7"/>
        <v>0.9321021428866727</v>
      </c>
      <c r="K101" s="139"/>
      <c r="L101" s="210">
        <f>+J101*G101</f>
        <v>0</v>
      </c>
      <c r="M101" s="108"/>
      <c r="N101" s="209">
        <v>0</v>
      </c>
      <c r="O101" s="151"/>
      <c r="P101" s="209">
        <f t="shared" si="1"/>
        <v>0</v>
      </c>
    </row>
    <row r="102" spans="1:16">
      <c r="B102" s="342">
        <f t="shared" si="6"/>
        <v>56</v>
      </c>
      <c r="C102" s="341"/>
      <c r="D102" s="205" t="s">
        <v>473</v>
      </c>
      <c r="E102" s="131" t="str">
        <f>"(Worksheet D, ln "&amp;'[6]OKT WS D Working Capital'!A19&amp;"."&amp;'[6]OKT WS D Working Capital'!I$6&amp;")"</f>
        <v>(Worksheet D, ln 4.(F))</v>
      </c>
      <c r="F102" s="343"/>
      <c r="G102" s="154">
        <f>+'[6]OKT WS D Working Capital'!I19</f>
        <v>0</v>
      </c>
      <c r="H102" s="108"/>
      <c r="I102" s="204" t="s">
        <v>268</v>
      </c>
      <c r="J102" s="214">
        <f t="shared" si="7"/>
        <v>0.93210214288667248</v>
      </c>
      <c r="K102" s="139"/>
      <c r="L102" s="210">
        <f>+J102*G102</f>
        <v>0</v>
      </c>
      <c r="M102" s="108"/>
      <c r="N102" s="209">
        <v>0</v>
      </c>
      <c r="O102" s="151"/>
      <c r="P102" s="209">
        <f t="shared" si="1"/>
        <v>0</v>
      </c>
    </row>
    <row r="103" spans="1:16">
      <c r="A103" s="105"/>
      <c r="B103" s="342">
        <f t="shared" si="6"/>
        <v>57</v>
      </c>
      <c r="C103" s="341"/>
      <c r="D103" s="155" t="s">
        <v>472</v>
      </c>
      <c r="E103" s="131" t="s">
        <v>471</v>
      </c>
      <c r="F103" s="339"/>
      <c r="G103" s="154">
        <f>+'[6]OKT WS D Working Capital'!J29</f>
        <v>0</v>
      </c>
      <c r="H103" s="340"/>
      <c r="I103" s="175" t="s">
        <v>262</v>
      </c>
      <c r="J103" s="214">
        <f t="shared" si="7"/>
        <v>0.9321021428866727</v>
      </c>
      <c r="K103" s="131"/>
      <c r="L103" s="154">
        <f>+J103*G103</f>
        <v>0</v>
      </c>
      <c r="M103" s="108"/>
      <c r="N103" s="209">
        <v>0</v>
      </c>
      <c r="O103" s="151"/>
      <c r="P103" s="209">
        <f t="shared" si="1"/>
        <v>0</v>
      </c>
    </row>
    <row r="104" spans="1:16">
      <c r="B104" s="332">
        <f t="shared" si="6"/>
        <v>58</v>
      </c>
      <c r="C104" s="338"/>
      <c r="D104" s="205" t="s">
        <v>470</v>
      </c>
      <c r="E104" s="131" t="s">
        <v>469</v>
      </c>
      <c r="F104" s="339"/>
      <c r="G104" s="154">
        <f>+'[6]OKT WS D Working Capital'!I29</f>
        <v>65004.57</v>
      </c>
      <c r="H104" s="143"/>
      <c r="I104" s="175" t="s">
        <v>268</v>
      </c>
      <c r="J104" s="214">
        <f t="shared" si="7"/>
        <v>0.93210214288667248</v>
      </c>
      <c r="K104" s="131"/>
      <c r="L104" s="154">
        <f>+G104*J104</f>
        <v>60590.898994426701</v>
      </c>
      <c r="M104" s="108"/>
      <c r="N104" s="209">
        <v>64246.273138530625</v>
      </c>
      <c r="O104" s="151"/>
      <c r="P104" s="209">
        <f t="shared" si="1"/>
        <v>3655.3741441039238</v>
      </c>
    </row>
    <row r="105" spans="1:16">
      <c r="B105" s="332">
        <f t="shared" si="6"/>
        <v>59</v>
      </c>
      <c r="C105" s="338"/>
      <c r="D105" s="205" t="s">
        <v>468</v>
      </c>
      <c r="E105" s="131" t="s">
        <v>467</v>
      </c>
      <c r="F105" s="339"/>
      <c r="G105" s="154">
        <f>+'[6]OKT WS D Working Capital'!G29</f>
        <v>7750</v>
      </c>
      <c r="H105" s="143"/>
      <c r="I105" s="175" t="s">
        <v>269</v>
      </c>
      <c r="J105" s="214">
        <f t="shared" si="7"/>
        <v>1</v>
      </c>
      <c r="K105" s="131"/>
      <c r="L105" s="154">
        <f>+G105</f>
        <v>7750</v>
      </c>
      <c r="M105" s="108"/>
      <c r="N105" s="209">
        <v>7750</v>
      </c>
      <c r="O105" s="151"/>
      <c r="P105" s="209">
        <f t="shared" si="1"/>
        <v>0</v>
      </c>
    </row>
    <row r="106" spans="1:16" ht="15.75" thickBot="1">
      <c r="B106" s="332">
        <f t="shared" si="6"/>
        <v>60</v>
      </c>
      <c r="C106" s="338"/>
      <c r="D106" s="205" t="s">
        <v>466</v>
      </c>
      <c r="E106" s="131" t="s">
        <v>465</v>
      </c>
      <c r="F106" s="339"/>
      <c r="G106" s="163">
        <f>+'[6]OKT WS D Working Capital'!E29</f>
        <v>0</v>
      </c>
      <c r="H106" s="154"/>
      <c r="I106" s="175" t="s">
        <v>266</v>
      </c>
      <c r="J106" s="214">
        <f t="shared" si="7"/>
        <v>0</v>
      </c>
      <c r="K106" s="131"/>
      <c r="L106" s="163">
        <f>+G106*J106</f>
        <v>0</v>
      </c>
      <c r="M106" s="108"/>
      <c r="N106" s="211">
        <v>0</v>
      </c>
      <c r="O106" s="151"/>
      <c r="P106" s="211">
        <f t="shared" si="1"/>
        <v>0</v>
      </c>
    </row>
    <row r="107" spans="1:16">
      <c r="B107" s="332">
        <f t="shared" si="6"/>
        <v>61</v>
      </c>
      <c r="C107" s="338"/>
      <c r="D107" s="205" t="s">
        <v>464</v>
      </c>
      <c r="E107" s="205" t="str">
        <f>"(sum lns "&amp;B99&amp;" to "&amp;B106&amp;")"</f>
        <v>(sum lns 53 to 60)</v>
      </c>
      <c r="F107" s="125"/>
      <c r="G107" s="154">
        <f>SUM(G99:G106)</f>
        <v>1117501.82</v>
      </c>
      <c r="H107" s="125"/>
      <c r="I107" s="114"/>
      <c r="J107" s="125"/>
      <c r="K107" s="125"/>
      <c r="L107" s="154">
        <f>SUM(L99:L106)</f>
        <v>1042152.0494943849</v>
      </c>
      <c r="M107" s="108"/>
      <c r="N107" s="209">
        <v>1104556.2482945656</v>
      </c>
      <c r="O107" s="151"/>
      <c r="P107" s="209">
        <f t="shared" si="1"/>
        <v>62404.198800180689</v>
      </c>
    </row>
    <row r="108" spans="1:16">
      <c r="B108" s="134"/>
      <c r="C108" s="133"/>
      <c r="D108" s="205"/>
      <c r="E108" s="138"/>
      <c r="F108" s="138"/>
      <c r="G108" s="210"/>
      <c r="H108" s="138"/>
      <c r="I108" s="133"/>
      <c r="J108" s="138"/>
      <c r="K108" s="138"/>
      <c r="L108" s="210"/>
      <c r="M108" s="108"/>
      <c r="N108" s="209"/>
      <c r="O108" s="151"/>
      <c r="P108" s="209" t="str">
        <f t="shared" si="1"/>
        <v/>
      </c>
    </row>
    <row r="109" spans="1:16">
      <c r="B109" s="134">
        <f>+B107+1</f>
        <v>62</v>
      </c>
      <c r="C109" s="133"/>
      <c r="D109" s="155" t="s">
        <v>463</v>
      </c>
      <c r="E109" s="135" t="str">
        <f>"(Note H) (Worksheet E, ln "&amp;'[6]OKT WS E IPP Credits'!A21&amp;".(B))"</f>
        <v>(Note H) (Worksheet E, ln 8.(B))</v>
      </c>
      <c r="F109" s="138"/>
      <c r="G109" s="154">
        <f>IF(G63=0,0,-'[6]OKT WS E IPP Credits'!C21)</f>
        <v>-30000</v>
      </c>
      <c r="H109" s="138"/>
      <c r="I109" s="258" t="s">
        <v>269</v>
      </c>
      <c r="J109" s="214">
        <f>VLOOKUP(I109,PSO_TU_Allocators,2,FALSE)</f>
        <v>1</v>
      </c>
      <c r="K109" s="139"/>
      <c r="L109" s="210">
        <f>+J109*G109</f>
        <v>-30000</v>
      </c>
      <c r="M109" s="108"/>
      <c r="N109" s="209">
        <v>-30000</v>
      </c>
      <c r="O109" s="151"/>
      <c r="P109" s="209">
        <f t="shared" si="1"/>
        <v>0</v>
      </c>
    </row>
    <row r="110" spans="1:16" ht="15.75" thickBot="1">
      <c r="B110" s="336"/>
      <c r="C110" s="192"/>
      <c r="D110" s="276"/>
      <c r="E110" s="139"/>
      <c r="F110" s="139"/>
      <c r="G110" s="212"/>
      <c r="H110" s="139"/>
      <c r="I110" s="204"/>
      <c r="J110" s="139"/>
      <c r="K110" s="139"/>
      <c r="L110" s="212"/>
      <c r="M110" s="108"/>
      <c r="N110" s="211"/>
      <c r="O110" s="151"/>
      <c r="P110" s="211" t="str">
        <f t="shared" si="1"/>
        <v/>
      </c>
    </row>
    <row r="111" spans="1:16" ht="15.75" thickBot="1">
      <c r="B111" s="134">
        <f>+B109+1</f>
        <v>63</v>
      </c>
      <c r="C111" s="133"/>
      <c r="D111" s="135" t="str">
        <f>"RATE BASE  (sum lns "&amp;B83&amp;", "&amp;B92&amp;", "&amp;B94&amp;", "&amp;B107&amp;", "&amp;B109&amp;")"</f>
        <v>RATE BASE  (sum lns 43, 50, 51, 61, 62)</v>
      </c>
      <c r="E111" s="139"/>
      <c r="F111" s="139"/>
      <c r="G111" s="254">
        <f>+G107+G94+G92+G83+G109</f>
        <v>584741782.35000014</v>
      </c>
      <c r="H111" s="139"/>
      <c r="I111" s="139"/>
      <c r="J111" s="267"/>
      <c r="K111" s="139"/>
      <c r="L111" s="254">
        <f>+L107+L94+L92+L83+L109</f>
        <v>532251636.04606283</v>
      </c>
      <c r="M111" s="108"/>
      <c r="N111" s="253">
        <v>563116694.09840894</v>
      </c>
      <c r="O111" s="151"/>
      <c r="P111" s="253">
        <f t="shared" si="1"/>
        <v>30865058.05234611</v>
      </c>
    </row>
    <row r="112" spans="1:16" ht="16.5" thickTop="1">
      <c r="B112" s="134"/>
      <c r="C112" s="108"/>
      <c r="D112" s="108"/>
      <c r="E112" s="337"/>
      <c r="F112" s="108"/>
      <c r="G112" s="108"/>
      <c r="H112" s="108"/>
      <c r="I112" s="249"/>
      <c r="J112" s="249"/>
      <c r="K112" s="249"/>
      <c r="L112" s="120"/>
      <c r="M112" s="108"/>
      <c r="N112" s="242"/>
      <c r="O112" s="151"/>
      <c r="P112" s="242" t="str">
        <f t="shared" si="1"/>
        <v/>
      </c>
    </row>
    <row r="113" spans="1:16">
      <c r="B113" s="134"/>
      <c r="C113" s="133"/>
      <c r="D113" s="135"/>
      <c r="E113" s="139"/>
      <c r="F113" s="139"/>
      <c r="G113" s="139"/>
      <c r="H113" s="139"/>
      <c r="I113" s="139"/>
      <c r="J113" s="139"/>
      <c r="K113" s="139"/>
      <c r="L113" s="139"/>
      <c r="M113" s="108"/>
      <c r="N113" s="174"/>
      <c r="O113" s="151"/>
      <c r="P113" s="174" t="str">
        <f t="shared" si="1"/>
        <v/>
      </c>
    </row>
    <row r="114" spans="1:16">
      <c r="B114" s="134"/>
      <c r="C114" s="133"/>
      <c r="D114" s="135"/>
      <c r="E114" s="139"/>
      <c r="F114" s="204" t="str">
        <f>F42</f>
        <v xml:space="preserve">AEP West SPP Member Companies </v>
      </c>
      <c r="G114" s="204"/>
      <c r="H114" s="139"/>
      <c r="I114" s="139"/>
      <c r="J114" s="139"/>
      <c r="K114" s="139"/>
      <c r="L114" s="139"/>
      <c r="M114" s="108"/>
      <c r="N114" s="174"/>
      <c r="O114" s="151"/>
      <c r="P114" s="174" t="str">
        <f t="shared" si="1"/>
        <v/>
      </c>
    </row>
    <row r="115" spans="1:16">
      <c r="B115" s="134"/>
      <c r="C115" s="133"/>
      <c r="D115" s="135"/>
      <c r="E115" s="139"/>
      <c r="F115" s="204" t="str">
        <f>F43</f>
        <v>Transmission Cost of Service Formula Rate</v>
      </c>
      <c r="G115" s="204"/>
      <c r="H115" s="139"/>
      <c r="I115" s="139"/>
      <c r="J115" s="139"/>
      <c r="K115" s="139"/>
      <c r="L115" s="139"/>
      <c r="M115" s="108"/>
      <c r="N115" s="174"/>
      <c r="O115" s="151"/>
      <c r="P115" s="174" t="str">
        <f t="shared" si="1"/>
        <v/>
      </c>
    </row>
    <row r="116" spans="1:16">
      <c r="B116" s="134"/>
      <c r="C116" s="133"/>
      <c r="D116" s="192"/>
      <c r="E116" s="139"/>
      <c r="F116" s="204" t="str">
        <f>F44</f>
        <v>Utilizing Actual Cost Data for 2017 with Average Ratebase Balances</v>
      </c>
      <c r="G116" s="139"/>
      <c r="H116" s="139"/>
      <c r="I116" s="139"/>
      <c r="J116" s="139"/>
      <c r="K116" s="139"/>
      <c r="L116" s="139"/>
      <c r="M116" s="108"/>
      <c r="N116" s="174"/>
      <c r="O116" s="151"/>
      <c r="P116" s="174" t="str">
        <f t="shared" ref="P116:P121" si="8">IF(N116="","",N116-L116)</f>
        <v/>
      </c>
    </row>
    <row r="117" spans="1:16">
      <c r="B117" s="134"/>
      <c r="C117" s="133"/>
      <c r="D117" s="192"/>
      <c r="E117" s="139"/>
      <c r="F117" s="204"/>
      <c r="G117" s="139"/>
      <c r="H117" s="139"/>
      <c r="I117" s="139"/>
      <c r="J117" s="139"/>
      <c r="K117" s="139"/>
      <c r="L117" s="139"/>
      <c r="M117" s="108"/>
      <c r="N117" s="174"/>
      <c r="O117" s="151"/>
      <c r="P117" s="174" t="str">
        <f t="shared" si="8"/>
        <v/>
      </c>
    </row>
    <row r="118" spans="1:16">
      <c r="B118" s="134"/>
      <c r="C118" s="133"/>
      <c r="D118" s="192"/>
      <c r="E118" s="140"/>
      <c r="F118" s="204" t="str">
        <f>F46</f>
        <v>AEP OKLAHOMA TRANSMISSION COMPANY, INC</v>
      </c>
      <c r="G118" s="140"/>
      <c r="H118" s="122"/>
      <c r="I118" s="140"/>
      <c r="J118" s="140"/>
      <c r="K118" s="140"/>
      <c r="L118" s="192"/>
      <c r="M118" s="108"/>
      <c r="N118" s="242"/>
      <c r="O118" s="151"/>
      <c r="P118" s="242" t="str">
        <f t="shared" si="8"/>
        <v/>
      </c>
    </row>
    <row r="119" spans="1:16">
      <c r="B119" s="134"/>
      <c r="C119" s="133"/>
      <c r="D119" s="192"/>
      <c r="E119" s="140"/>
      <c r="F119" s="204"/>
      <c r="G119" s="140"/>
      <c r="H119" s="122"/>
      <c r="I119" s="140"/>
      <c r="J119" s="140"/>
      <c r="K119" s="140"/>
      <c r="L119" s="192"/>
      <c r="M119" s="108"/>
      <c r="N119" s="242"/>
      <c r="O119" s="151"/>
      <c r="P119" s="242" t="str">
        <f t="shared" si="8"/>
        <v/>
      </c>
    </row>
    <row r="120" spans="1:16">
      <c r="B120" s="336"/>
      <c r="C120" s="192"/>
      <c r="D120" s="133" t="s">
        <v>462</v>
      </c>
      <c r="E120" s="133" t="s">
        <v>461</v>
      </c>
      <c r="F120" s="133"/>
      <c r="G120" s="133" t="s">
        <v>460</v>
      </c>
      <c r="H120" s="131"/>
      <c r="I120" s="481" t="s">
        <v>459</v>
      </c>
      <c r="J120" s="482"/>
      <c r="K120" s="139"/>
      <c r="L120" s="434" t="s">
        <v>458</v>
      </c>
      <c r="M120" s="108"/>
      <c r="N120" s="334" t="s">
        <v>458</v>
      </c>
      <c r="O120" s="151"/>
      <c r="P120" s="334">
        <f t="shared" si="8"/>
        <v>0</v>
      </c>
    </row>
    <row r="121" spans="1:16" ht="15.75">
      <c r="B121" s="104"/>
      <c r="C121" s="192"/>
      <c r="D121" s="133"/>
      <c r="E121" s="133"/>
      <c r="F121" s="133"/>
      <c r="G121" s="133"/>
      <c r="H121" s="131"/>
      <c r="I121" s="139"/>
      <c r="J121" s="333"/>
      <c r="K121" s="139"/>
      <c r="L121" s="192"/>
      <c r="M121" s="108"/>
      <c r="N121" s="242"/>
      <c r="O121" s="327"/>
      <c r="P121" s="242" t="str">
        <f t="shared" si="8"/>
        <v/>
      </c>
    </row>
    <row r="122" spans="1:16" ht="15.75">
      <c r="B122" s="332"/>
      <c r="C122" s="133"/>
      <c r="D122" s="141" t="s">
        <v>457</v>
      </c>
      <c r="E122" s="330" t="str">
        <f>E50</f>
        <v>Data Sources</v>
      </c>
      <c r="F122" s="331"/>
      <c r="G122" s="139"/>
      <c r="H122" s="131"/>
      <c r="I122" s="139"/>
      <c r="J122" s="133"/>
      <c r="K122" s="139"/>
      <c r="L122" s="330" t="str">
        <f>L50</f>
        <v>Total</v>
      </c>
      <c r="M122" s="108"/>
      <c r="N122" s="329" t="s">
        <v>372</v>
      </c>
      <c r="O122" s="327"/>
      <c r="P122" s="329" t="s">
        <v>372</v>
      </c>
    </row>
    <row r="123" spans="1:16" ht="15.75">
      <c r="B123" s="104"/>
      <c r="C123" s="132"/>
      <c r="D123" s="435" t="s">
        <v>456</v>
      </c>
      <c r="E123" s="328" t="str">
        <f>E51</f>
        <v>(See "General Notes")</v>
      </c>
      <c r="F123" s="139"/>
      <c r="G123" s="328" t="str">
        <f>G51</f>
        <v>TO Total</v>
      </c>
      <c r="H123" s="196"/>
      <c r="I123" s="471" t="str">
        <f>I51</f>
        <v>Allocator</v>
      </c>
      <c r="J123" s="472"/>
      <c r="K123" s="191"/>
      <c r="L123" s="328" t="str">
        <f>L51</f>
        <v>Transmission</v>
      </c>
      <c r="M123" s="108"/>
      <c r="N123" s="326" t="s">
        <v>455</v>
      </c>
      <c r="O123" s="327"/>
      <c r="P123" s="326" t="s">
        <v>455</v>
      </c>
    </row>
    <row r="124" spans="1:16" ht="15.75">
      <c r="B124" s="325" t="str">
        <f>B52</f>
        <v>Line</v>
      </c>
      <c r="C124" s="192"/>
      <c r="D124" s="135"/>
      <c r="E124" s="139"/>
      <c r="F124" s="139"/>
      <c r="G124" s="435"/>
      <c r="H124" s="324"/>
      <c r="I124" s="141"/>
      <c r="J124" s="192"/>
      <c r="K124" s="323"/>
      <c r="L124" s="435"/>
      <c r="M124" s="108"/>
      <c r="N124" s="321"/>
      <c r="O124" s="151"/>
      <c r="P124" s="321" t="str">
        <f t="shared" ref="P124:P187" si="9">IF(N124="","",N124-L124)</f>
        <v/>
      </c>
    </row>
    <row r="125" spans="1:16" ht="15.75" thickBot="1">
      <c r="B125" s="243" t="str">
        <f>B53</f>
        <v>No.</v>
      </c>
      <c r="C125" s="133"/>
      <c r="D125" s="135" t="s">
        <v>454</v>
      </c>
      <c r="E125" s="139"/>
      <c r="F125" s="139"/>
      <c r="G125" s="139"/>
      <c r="H125" s="131"/>
      <c r="I125" s="204"/>
      <c r="J125" s="139"/>
      <c r="K125" s="139"/>
      <c r="L125" s="139"/>
      <c r="M125" s="108"/>
      <c r="N125" s="174"/>
      <c r="O125" s="151"/>
      <c r="P125" s="174" t="str">
        <f t="shared" si="9"/>
        <v/>
      </c>
    </row>
    <row r="126" spans="1:16">
      <c r="B126" s="319">
        <f>+B111+1</f>
        <v>64</v>
      </c>
      <c r="C126" s="133"/>
      <c r="D126" s="119" t="s">
        <v>453</v>
      </c>
      <c r="E126" s="139" t="s">
        <v>452</v>
      </c>
      <c r="F126" s="131"/>
      <c r="G126" s="237">
        <f>+'[6]OKT Historic TCOS'!G136</f>
        <v>8931259</v>
      </c>
      <c r="H126" s="154"/>
      <c r="I126" s="108"/>
      <c r="J126" s="108"/>
      <c r="K126" s="108"/>
      <c r="L126" s="108"/>
      <c r="M126" s="108"/>
      <c r="N126" s="317"/>
      <c r="O126" s="269"/>
      <c r="P126" s="317" t="str">
        <f t="shared" si="9"/>
        <v/>
      </c>
    </row>
    <row r="127" spans="1:16">
      <c r="A127" s="108"/>
      <c r="B127" s="319">
        <f>+B126+1</f>
        <v>65</v>
      </c>
      <c r="C127" s="133"/>
      <c r="D127" s="119" t="s">
        <v>451</v>
      </c>
      <c r="E127" s="131" t="s">
        <v>435</v>
      </c>
      <c r="F127" s="131"/>
      <c r="G127" s="237">
        <f>+'[6]OKT Historic TCOS'!G137</f>
        <v>573281</v>
      </c>
      <c r="H127" s="154"/>
      <c r="I127" s="108"/>
      <c r="J127" s="108"/>
      <c r="K127" s="108"/>
      <c r="L127" s="108"/>
      <c r="M127" s="108"/>
      <c r="N127" s="317"/>
      <c r="O127" s="269"/>
      <c r="P127" s="317" t="str">
        <f t="shared" si="9"/>
        <v/>
      </c>
    </row>
    <row r="128" spans="1:16">
      <c r="A128" s="108"/>
      <c r="B128" s="319">
        <f>+B127+1</f>
        <v>66</v>
      </c>
      <c r="C128" s="133"/>
      <c r="D128" s="119" t="s">
        <v>450</v>
      </c>
      <c r="E128" s="131" t="s">
        <v>433</v>
      </c>
      <c r="F128" s="131"/>
      <c r="G128" s="237">
        <f>+'[6]OKT Historic TCOS'!G138</f>
        <v>0</v>
      </c>
      <c r="H128" s="154"/>
      <c r="I128" s="108"/>
      <c r="J128" s="108"/>
      <c r="K128" s="108"/>
      <c r="L128" s="108"/>
      <c r="M128" s="108"/>
      <c r="N128" s="317"/>
      <c r="O128" s="269"/>
      <c r="P128" s="317" t="str">
        <f t="shared" si="9"/>
        <v/>
      </c>
    </row>
    <row r="129" spans="1:16" ht="15.75" thickBot="1">
      <c r="A129" s="108"/>
      <c r="B129" s="319">
        <f>+B128+1</f>
        <v>67</v>
      </c>
      <c r="C129" s="133"/>
      <c r="D129" s="119" t="str">
        <f>"Less: expenses 100% assigned to TO billed customers (Worksheet I, ln "&amp;'[6]OKT WS I Exp Adj'!B21&amp;")"</f>
        <v>Less: expenses 100% assigned to TO billed customers (Worksheet I, ln 14)</v>
      </c>
      <c r="E129" s="131"/>
      <c r="F129" s="131"/>
      <c r="G129" s="320">
        <f>+'[6]OKT WS I Exp Adj'!G21</f>
        <v>0</v>
      </c>
      <c r="H129" s="154"/>
      <c r="I129" s="108"/>
      <c r="J129" s="108"/>
      <c r="K129" s="108"/>
      <c r="L129" s="108"/>
      <c r="M129" s="108"/>
      <c r="N129" s="317"/>
      <c r="O129" s="269"/>
      <c r="P129" s="317" t="str">
        <f t="shared" si="9"/>
        <v/>
      </c>
    </row>
    <row r="130" spans="1:16">
      <c r="A130" s="108"/>
      <c r="B130" s="319">
        <f>+B129+1</f>
        <v>68</v>
      </c>
      <c r="C130" s="133"/>
      <c r="D130" s="119" t="s">
        <v>449</v>
      </c>
      <c r="E130" s="139" t="str">
        <f>"(lns "&amp;B126&amp;" - "&amp;B127&amp;" - "&amp;B128&amp;" - "&amp;B129&amp;")"</f>
        <v>(lns 64 - 65 - 66 - 67)</v>
      </c>
      <c r="F130" s="119"/>
      <c r="G130" s="154">
        <f>+G126-G127-G128-G129</f>
        <v>8357978</v>
      </c>
      <c r="H130" s="131"/>
      <c r="I130" s="204" t="s">
        <v>264</v>
      </c>
      <c r="J130" s="214">
        <f>VLOOKUP(I130,PSO_TU_Allocators,2,FALSE)</f>
        <v>0.93210214288667259</v>
      </c>
      <c r="K130" s="131"/>
      <c r="L130" s="154">
        <f>+J130*G130</f>
        <v>7790489.2039996656</v>
      </c>
      <c r="M130" s="108"/>
      <c r="N130" s="209">
        <v>8260479.8012482794</v>
      </c>
      <c r="O130" s="269"/>
      <c r="P130" s="209">
        <f t="shared" si="9"/>
        <v>469990.59724861383</v>
      </c>
    </row>
    <row r="131" spans="1:16">
      <c r="A131" s="108"/>
      <c r="B131" s="134"/>
      <c r="C131" s="133"/>
      <c r="D131" s="119"/>
      <c r="E131" s="131"/>
      <c r="F131" s="131"/>
      <c r="G131" s="318"/>
      <c r="H131" s="154"/>
      <c r="I131" s="108"/>
      <c r="J131" s="108"/>
      <c r="K131" s="108"/>
      <c r="L131" s="108"/>
      <c r="M131" s="108"/>
      <c r="N131" s="317"/>
      <c r="O131" s="269"/>
      <c r="P131" s="317" t="str">
        <f t="shared" si="9"/>
        <v/>
      </c>
    </row>
    <row r="132" spans="1:16">
      <c r="A132" s="108"/>
      <c r="B132" s="134">
        <f>+B130+1</f>
        <v>69</v>
      </c>
      <c r="C132" s="133"/>
      <c r="D132" s="135" t="s">
        <v>448</v>
      </c>
      <c r="E132" s="139" t="s">
        <v>447</v>
      </c>
      <c r="F132" s="139"/>
      <c r="G132" s="154">
        <f>+'[6]OKT Historic TCOS'!G142</f>
        <v>2634355</v>
      </c>
      <c r="H132" s="154"/>
      <c r="I132" s="287"/>
      <c r="J132" s="287"/>
      <c r="K132" s="139"/>
      <c r="L132" s="210"/>
      <c r="M132" s="108"/>
      <c r="N132" s="209"/>
      <c r="O132" s="269"/>
      <c r="P132" s="209" t="str">
        <f t="shared" si="9"/>
        <v/>
      </c>
    </row>
    <row r="133" spans="1:16">
      <c r="A133" s="108"/>
      <c r="B133" s="134">
        <f t="shared" ref="B133:B141" si="10">+B132+1</f>
        <v>70</v>
      </c>
      <c r="C133" s="133"/>
      <c r="D133" s="119" t="s">
        <v>446</v>
      </c>
      <c r="E133" s="139" t="s">
        <v>445</v>
      </c>
      <c r="F133" s="139"/>
      <c r="G133" s="154">
        <f>+'[6]OKT Historic TCOS'!G143</f>
        <v>84727</v>
      </c>
      <c r="H133" s="154"/>
      <c r="I133" s="287"/>
      <c r="J133" s="135"/>
      <c r="K133" s="139"/>
      <c r="L133" s="210"/>
      <c r="M133" s="108"/>
      <c r="N133" s="209"/>
      <c r="O133" s="269"/>
      <c r="P133" s="209" t="str">
        <f t="shared" si="9"/>
        <v/>
      </c>
    </row>
    <row r="134" spans="1:16">
      <c r="B134" s="134">
        <f t="shared" si="10"/>
        <v>71</v>
      </c>
      <c r="C134" s="133"/>
      <c r="D134" s="135" t="s">
        <v>444</v>
      </c>
      <c r="E134" s="139" t="s">
        <v>443</v>
      </c>
      <c r="F134" s="131"/>
      <c r="G134" s="154">
        <f>+'[6]OKT Historic TCOS'!G144</f>
        <v>48496</v>
      </c>
      <c r="H134" s="154"/>
      <c r="I134" s="287"/>
      <c r="J134" s="316"/>
      <c r="K134" s="139"/>
      <c r="L134" s="210"/>
      <c r="M134" s="108"/>
      <c r="N134" s="209"/>
      <c r="O134" s="269"/>
      <c r="P134" s="209" t="str">
        <f t="shared" si="9"/>
        <v/>
      </c>
    </row>
    <row r="135" spans="1:16">
      <c r="B135" s="134">
        <f t="shared" si="10"/>
        <v>72</v>
      </c>
      <c r="C135" s="133"/>
      <c r="D135" s="119" t="s">
        <v>442</v>
      </c>
      <c r="E135" s="139" t="s">
        <v>441</v>
      </c>
      <c r="F135" s="131"/>
      <c r="G135" s="154">
        <f>+'[6]OKT Historic TCOS'!G145</f>
        <v>1705</v>
      </c>
      <c r="H135" s="154"/>
      <c r="I135" s="287"/>
      <c r="J135" s="287"/>
      <c r="K135" s="139"/>
      <c r="L135" s="210"/>
      <c r="M135" s="108"/>
      <c r="N135" s="209"/>
      <c r="O135" s="269"/>
      <c r="P135" s="209" t="str">
        <f t="shared" si="9"/>
        <v/>
      </c>
    </row>
    <row r="136" spans="1:16" ht="15.75" thickBot="1">
      <c r="B136" s="134">
        <f t="shared" si="10"/>
        <v>73</v>
      </c>
      <c r="C136" s="133"/>
      <c r="D136" s="119" t="s">
        <v>440</v>
      </c>
      <c r="E136" s="139" t="s">
        <v>439</v>
      </c>
      <c r="F136" s="131"/>
      <c r="G136" s="163">
        <f>+'[6]OKT Historic TCOS'!G146</f>
        <v>38217</v>
      </c>
      <c r="H136" s="154"/>
      <c r="I136" s="287"/>
      <c r="J136" s="287"/>
      <c r="K136" s="139"/>
      <c r="L136" s="210"/>
      <c r="M136" s="108"/>
      <c r="N136" s="209"/>
      <c r="O136" s="269"/>
      <c r="P136" s="209" t="str">
        <f t="shared" si="9"/>
        <v/>
      </c>
    </row>
    <row r="137" spans="1:16">
      <c r="B137" s="134">
        <f t="shared" si="10"/>
        <v>74</v>
      </c>
      <c r="C137" s="133"/>
      <c r="D137" s="135" t="s">
        <v>438</v>
      </c>
      <c r="E137" s="131" t="str">
        <f>"(ln "&amp;B132&amp;" - sum ln "&amp;B133&amp;"  to ln "&amp;B136&amp;")"</f>
        <v>(ln 69 - sum ln 70  to ln 73)</v>
      </c>
      <c r="F137" s="131"/>
      <c r="G137" s="154">
        <f>G132-SUM(G133:G136)</f>
        <v>2461210</v>
      </c>
      <c r="H137" s="154"/>
      <c r="I137" s="204" t="s">
        <v>262</v>
      </c>
      <c r="J137" s="214">
        <f t="shared" ref="J137:J142" si="11">VLOOKUP(I137,PSO_TU_Allocators,2,FALSE)</f>
        <v>0.9321021428866727</v>
      </c>
      <c r="K137" s="139"/>
      <c r="L137" s="210">
        <f>+J137*G137</f>
        <v>2294099.1150941076</v>
      </c>
      <c r="M137" s="108"/>
      <c r="N137" s="209">
        <v>2432499.2829163074</v>
      </c>
      <c r="O137" s="269"/>
      <c r="P137" s="209">
        <f t="shared" si="9"/>
        <v>138400.16782219987</v>
      </c>
    </row>
    <row r="138" spans="1:16">
      <c r="B138" s="115">
        <f t="shared" si="10"/>
        <v>75</v>
      </c>
      <c r="C138" s="114"/>
      <c r="D138" s="119" t="s">
        <v>437</v>
      </c>
      <c r="E138" s="131" t="str">
        <f>"(ln "&amp;B133&amp;")"</f>
        <v>(ln 70)</v>
      </c>
      <c r="F138" s="131"/>
      <c r="G138" s="154">
        <f>+G133</f>
        <v>84727</v>
      </c>
      <c r="H138" s="154"/>
      <c r="I138" s="315" t="s">
        <v>268</v>
      </c>
      <c r="J138" s="214">
        <f t="shared" si="11"/>
        <v>0.93210214288667248</v>
      </c>
      <c r="K138" s="131"/>
      <c r="L138" s="154">
        <f>+J138*G138</f>
        <v>78974.218260359106</v>
      </c>
      <c r="M138" s="108"/>
      <c r="N138" s="209">
        <v>83738.635363764188</v>
      </c>
      <c r="O138" s="269"/>
      <c r="P138" s="209">
        <f t="shared" si="9"/>
        <v>4764.4171034050814</v>
      </c>
    </row>
    <row r="139" spans="1:16">
      <c r="B139" s="134">
        <f t="shared" si="10"/>
        <v>76</v>
      </c>
      <c r="C139" s="133"/>
      <c r="D139" s="119" t="s">
        <v>436</v>
      </c>
      <c r="E139" s="131" t="s">
        <v>435</v>
      </c>
      <c r="F139" s="131"/>
      <c r="G139" s="154">
        <f>+'[6]OKT WS J Misc Exp'!F23</f>
        <v>47729.9</v>
      </c>
      <c r="H139" s="154"/>
      <c r="I139" s="204" t="s">
        <v>264</v>
      </c>
      <c r="J139" s="214">
        <f t="shared" si="11"/>
        <v>0.93210214288667259</v>
      </c>
      <c r="K139" s="139"/>
      <c r="L139" s="210">
        <f>J139*G139</f>
        <v>44489.142069766596</v>
      </c>
      <c r="M139" s="108"/>
      <c r="N139" s="209">
        <v>47173.117094302026</v>
      </c>
      <c r="O139" s="269"/>
      <c r="P139" s="209">
        <f t="shared" si="9"/>
        <v>2683.9750245354298</v>
      </c>
    </row>
    <row r="140" spans="1:16">
      <c r="B140" s="134">
        <f t="shared" si="10"/>
        <v>77</v>
      </c>
      <c r="C140" s="133"/>
      <c r="D140" s="119" t="s">
        <v>434</v>
      </c>
      <c r="E140" s="131" t="s">
        <v>433</v>
      </c>
      <c r="F140" s="131"/>
      <c r="G140" s="237">
        <f>'[6]OKT WS J Misc Exp'!F43</f>
        <v>0</v>
      </c>
      <c r="H140" s="131"/>
      <c r="I140" s="175" t="s">
        <v>268</v>
      </c>
      <c r="J140" s="214">
        <f t="shared" si="11"/>
        <v>0.93210214288667248</v>
      </c>
      <c r="K140" s="139"/>
      <c r="L140" s="252">
        <f>+J140*G140</f>
        <v>0</v>
      </c>
      <c r="M140" s="108"/>
      <c r="N140" s="236">
        <v>0</v>
      </c>
      <c r="O140" s="269"/>
      <c r="P140" s="236">
        <f t="shared" si="9"/>
        <v>0</v>
      </c>
    </row>
    <row r="141" spans="1:16">
      <c r="B141" s="134">
        <f t="shared" si="10"/>
        <v>78</v>
      </c>
      <c r="C141" s="133"/>
      <c r="D141" s="119" t="s">
        <v>432</v>
      </c>
      <c r="E141" s="131" t="str">
        <f>"Worksheet J ln "&amp;'[6]OKT WS J Misc Exp'!A52&amp;".(E) (Note L)"</f>
        <v>Worksheet J ln 32.(E) (Note L)</v>
      </c>
      <c r="F141" s="131"/>
      <c r="G141" s="237">
        <f>'[6]OKT WS J Misc Exp'!F52</f>
        <v>0</v>
      </c>
      <c r="H141" s="131"/>
      <c r="I141" s="175" t="s">
        <v>269</v>
      </c>
      <c r="J141" s="214">
        <f t="shared" si="11"/>
        <v>1</v>
      </c>
      <c r="K141" s="139"/>
      <c r="L141" s="210">
        <f>J141*G141</f>
        <v>0</v>
      </c>
      <c r="M141" s="108"/>
      <c r="N141" s="209">
        <v>0</v>
      </c>
      <c r="O141" s="269"/>
      <c r="P141" s="209">
        <f t="shared" si="9"/>
        <v>0</v>
      </c>
    </row>
    <row r="142" spans="1:16" s="105" customFormat="1">
      <c r="B142" s="115" t="s">
        <v>431</v>
      </c>
      <c r="C142" s="114"/>
      <c r="D142" s="314" t="s">
        <v>430</v>
      </c>
      <c r="E142" s="131" t="str">
        <f>"Worksheet O ln "&amp;'[6]OKT WS O  PBOP'!A30&amp;".B"</f>
        <v>Worksheet O ln 16.B</v>
      </c>
      <c r="F142" s="131"/>
      <c r="G142" s="237">
        <f>'[6]OKT WS O  PBOP'!D30</f>
        <v>430983.59644076577</v>
      </c>
      <c r="H142" s="131"/>
      <c r="I142" s="175" t="s">
        <v>269</v>
      </c>
      <c r="J142" s="214">
        <f t="shared" si="11"/>
        <v>1</v>
      </c>
      <c r="K142" s="131"/>
      <c r="L142" s="154">
        <f>G142</f>
        <v>430983.59644076577</v>
      </c>
      <c r="M142" s="304"/>
      <c r="N142" s="209">
        <v>430983.59644076577</v>
      </c>
      <c r="O142" s="269"/>
      <c r="P142" s="209">
        <f t="shared" si="9"/>
        <v>0</v>
      </c>
    </row>
    <row r="143" spans="1:16" s="105" customFormat="1" ht="15.75" thickBot="1">
      <c r="B143" s="115">
        <f>+B141+1</f>
        <v>79</v>
      </c>
      <c r="C143" s="114"/>
      <c r="D143" s="119" t="s">
        <v>429</v>
      </c>
      <c r="E143" s="131" t="str">
        <f>"(sum lns "&amp;B137&amp;"  to "&amp;B141&amp;" less ln "&amp;B142&amp;")"</f>
        <v>(sum lns 74  to 78 less ln 78a)</v>
      </c>
      <c r="F143" s="131"/>
      <c r="G143" s="163">
        <f>SUM(G137:G142)</f>
        <v>3024650.4964407654</v>
      </c>
      <c r="H143" s="154"/>
      <c r="I143" s="175"/>
      <c r="J143" s="313"/>
      <c r="K143" s="131"/>
      <c r="L143" s="163">
        <f>SUM(L137:L142)</f>
        <v>2848546.0718649989</v>
      </c>
      <c r="M143" s="304"/>
      <c r="N143" s="211">
        <v>2994394.6318151392</v>
      </c>
      <c r="O143" s="269"/>
      <c r="P143" s="211">
        <f t="shared" si="9"/>
        <v>145848.5599501403</v>
      </c>
    </row>
    <row r="144" spans="1:16" s="105" customFormat="1">
      <c r="B144" s="115">
        <f>+B143+1</f>
        <v>80</v>
      </c>
      <c r="C144" s="114"/>
      <c r="D144" s="119" t="s">
        <v>428</v>
      </c>
      <c r="E144" s="131" t="str">
        <f>"(ln "&amp;B130&amp;" + ln "&amp;B143&amp;")"</f>
        <v>(ln 68 + ln 79)</v>
      </c>
      <c r="F144" s="131"/>
      <c r="G144" s="237">
        <f>G130+G143</f>
        <v>11382628.496440765</v>
      </c>
      <c r="H144" s="154"/>
      <c r="I144" s="175"/>
      <c r="J144" s="126"/>
      <c r="K144" s="131"/>
      <c r="L144" s="154">
        <f>+L143+L130</f>
        <v>10639035.275864664</v>
      </c>
      <c r="M144" s="304"/>
      <c r="N144" s="209">
        <v>11254874.433063418</v>
      </c>
      <c r="O144" s="269"/>
      <c r="P144" s="209">
        <f t="shared" si="9"/>
        <v>615839.15719875321</v>
      </c>
    </row>
    <row r="145" spans="1:16" s="105" customFormat="1">
      <c r="B145" s="115"/>
      <c r="C145" s="114"/>
      <c r="D145" s="119"/>
      <c r="E145" s="131"/>
      <c r="F145" s="131"/>
      <c r="G145" s="237"/>
      <c r="H145" s="233"/>
      <c r="I145" s="234"/>
      <c r="J145" s="312"/>
      <c r="K145" s="233"/>
      <c r="L145" s="237"/>
      <c r="M145" s="304"/>
      <c r="N145" s="236"/>
      <c r="O145" s="269"/>
      <c r="P145" s="236" t="str">
        <f t="shared" si="9"/>
        <v/>
      </c>
    </row>
    <row r="146" spans="1:16" s="105" customFormat="1">
      <c r="B146" s="115">
        <f>+B144+1</f>
        <v>81</v>
      </c>
      <c r="C146" s="114"/>
      <c r="D146" s="155" t="s">
        <v>427</v>
      </c>
      <c r="E146" s="175"/>
      <c r="F146" s="175"/>
      <c r="G146" s="237"/>
      <c r="H146" s="233"/>
      <c r="I146" s="234"/>
      <c r="J146" s="233"/>
      <c r="K146" s="233"/>
      <c r="L146" s="237"/>
      <c r="M146" s="304"/>
      <c r="N146" s="236"/>
      <c r="O146" s="269"/>
      <c r="P146" s="236" t="str">
        <f t="shared" si="9"/>
        <v/>
      </c>
    </row>
    <row r="147" spans="1:16" s="105" customFormat="1">
      <c r="B147" s="115">
        <f>+B146+1</f>
        <v>82</v>
      </c>
      <c r="C147" s="114"/>
      <c r="D147" s="307" t="str">
        <f>+D126</f>
        <v xml:space="preserve">  Transmission </v>
      </c>
      <c r="E147" s="305" t="s">
        <v>426</v>
      </c>
      <c r="F147" s="306"/>
      <c r="G147" s="309">
        <f>+'[6]OKT Historic TCOS'!G158</f>
        <v>18588776</v>
      </c>
      <c r="H147" s="154"/>
      <c r="I147" s="311" t="s">
        <v>264</v>
      </c>
      <c r="J147" s="214">
        <f>VLOOKUP(I147,PSO_TU_Allocators,2,FALSE)</f>
        <v>0.93210214288667259</v>
      </c>
      <c r="K147" s="310"/>
      <c r="L147" s="309">
        <f>J147*G147</f>
        <v>17326637.943240352</v>
      </c>
      <c r="M147" s="304"/>
      <c r="N147" s="308">
        <v>18371932.622690413</v>
      </c>
      <c r="O147" s="269"/>
      <c r="P147" s="308">
        <f t="shared" si="9"/>
        <v>1045294.6794500612</v>
      </c>
    </row>
    <row r="148" spans="1:16" s="105" customFormat="1">
      <c r="B148" s="115">
        <f>+B147+1</f>
        <v>83</v>
      </c>
      <c r="C148" s="114"/>
      <c r="D148" s="155" t="s">
        <v>425</v>
      </c>
      <c r="E148" s="306" t="s">
        <v>424</v>
      </c>
      <c r="F148" s="131"/>
      <c r="G148" s="154">
        <f>+'[6]OKT Historic TCOS'!G161</f>
        <v>98396</v>
      </c>
      <c r="H148" s="154"/>
      <c r="I148" s="175" t="s">
        <v>262</v>
      </c>
      <c r="J148" s="214">
        <f>VLOOKUP(I148,PSO_TU_Allocators,2,FALSE)</f>
        <v>0.9321021428866727</v>
      </c>
      <c r="K148" s="131"/>
      <c r="L148" s="154">
        <f>+J148*G148</f>
        <v>91715.122451477044</v>
      </c>
      <c r="M148" s="304"/>
      <c r="N148" s="209">
        <v>97248.182577607353</v>
      </c>
      <c r="O148" s="269"/>
      <c r="P148" s="209">
        <f t="shared" si="9"/>
        <v>5533.0601261303091</v>
      </c>
    </row>
    <row r="149" spans="1:16" s="105" customFormat="1">
      <c r="B149" s="115" t="s">
        <v>423</v>
      </c>
      <c r="C149" s="114"/>
      <c r="D149" s="307" t="s">
        <v>422</v>
      </c>
      <c r="E149" s="131" t="str">
        <f>"(Worksheet A ln "&amp;'[6]OKT WS A RB Support '!A90&amp;".E)"</f>
        <v>(Worksheet A ln 37.E)</v>
      </c>
      <c r="F149" s="306"/>
      <c r="G149" s="154">
        <f>+'[6]OKT WS A RB Support '!G88</f>
        <v>0</v>
      </c>
      <c r="H149" s="154"/>
      <c r="I149" s="175" t="s">
        <v>269</v>
      </c>
      <c r="J149" s="214">
        <v>1</v>
      </c>
      <c r="K149" s="131"/>
      <c r="L149" s="154">
        <f>J149*G149</f>
        <v>0</v>
      </c>
      <c r="M149" s="304"/>
      <c r="N149" s="209">
        <v>0</v>
      </c>
      <c r="O149" s="269"/>
      <c r="P149" s="209">
        <f t="shared" si="9"/>
        <v>0</v>
      </c>
    </row>
    <row r="150" spans="1:16" s="105" customFormat="1" ht="15.75" thickBot="1">
      <c r="B150" s="115">
        <f>+B148+1</f>
        <v>84</v>
      </c>
      <c r="C150" s="114"/>
      <c r="D150" s="155" t="s">
        <v>421</v>
      </c>
      <c r="E150" s="306" t="s">
        <v>420</v>
      </c>
      <c r="F150" s="131"/>
      <c r="G150" s="163">
        <f>+'[6]OKT Historic TCOS'!G162</f>
        <v>944660</v>
      </c>
      <c r="H150" s="154"/>
      <c r="I150" s="175" t="s">
        <v>262</v>
      </c>
      <c r="J150" s="214">
        <f>VLOOKUP(I150,PSO_TU_Allocators,2,FALSE)</f>
        <v>0.9321021428866727</v>
      </c>
      <c r="K150" s="131"/>
      <c r="L150" s="163">
        <f>+J150*G150</f>
        <v>880519.61029932427</v>
      </c>
      <c r="M150" s="304"/>
      <c r="N150" s="211">
        <v>933640.27149236319</v>
      </c>
      <c r="O150" s="269"/>
      <c r="P150" s="211">
        <f t="shared" si="9"/>
        <v>53120.661193038919</v>
      </c>
    </row>
    <row r="151" spans="1:16" s="105" customFormat="1">
      <c r="B151" s="115">
        <f>+B150+1</f>
        <v>85</v>
      </c>
      <c r="C151" s="114"/>
      <c r="D151" s="155" t="s">
        <v>419</v>
      </c>
      <c r="E151" s="305" t="str">
        <f>"(sum lns "&amp;B147&amp;" to "&amp;B150&amp;")"</f>
        <v>(sum lns 82 to 84)</v>
      </c>
      <c r="F151" s="131"/>
      <c r="G151" s="154">
        <f>SUM(G147:G150)</f>
        <v>19631832</v>
      </c>
      <c r="H151" s="131"/>
      <c r="I151" s="175"/>
      <c r="J151" s="131"/>
      <c r="K151" s="131"/>
      <c r="L151" s="154">
        <f>SUM(L147:L150)</f>
        <v>18298872.675991151</v>
      </c>
      <c r="M151" s="304"/>
      <c r="N151" s="209">
        <v>19402821.076760381</v>
      </c>
      <c r="O151" s="269"/>
      <c r="P151" s="209">
        <f t="shared" si="9"/>
        <v>1103948.40076923</v>
      </c>
    </row>
    <row r="152" spans="1:16">
      <c r="B152" s="134"/>
      <c r="C152" s="133"/>
      <c r="D152" s="205"/>
      <c r="E152" s="303"/>
      <c r="F152" s="139"/>
      <c r="G152" s="210"/>
      <c r="H152" s="131"/>
      <c r="I152" s="204"/>
      <c r="J152" s="139"/>
      <c r="K152" s="139"/>
      <c r="L152" s="210"/>
      <c r="M152" s="108"/>
      <c r="N152" s="209"/>
      <c r="O152" s="269"/>
      <c r="P152" s="209" t="str">
        <f t="shared" si="9"/>
        <v/>
      </c>
    </row>
    <row r="153" spans="1:16">
      <c r="B153" s="134">
        <f>+B151+1</f>
        <v>86</v>
      </c>
      <c r="C153" s="133"/>
      <c r="D153" s="205" t="s">
        <v>418</v>
      </c>
      <c r="E153" s="120" t="s">
        <v>417</v>
      </c>
      <c r="F153" s="192"/>
      <c r="G153" s="210"/>
      <c r="H153" s="131"/>
      <c r="I153" s="204"/>
      <c r="J153" s="139"/>
      <c r="K153" s="139"/>
      <c r="L153" s="210"/>
      <c r="M153" s="108"/>
      <c r="N153" s="209"/>
      <c r="O153" s="269"/>
      <c r="P153" s="209" t="str">
        <f t="shared" si="9"/>
        <v/>
      </c>
    </row>
    <row r="154" spans="1:16">
      <c r="B154" s="134">
        <f t="shared" ref="B154:B160" si="12">+B153+1</f>
        <v>87</v>
      </c>
      <c r="C154" s="133"/>
      <c r="D154" s="205" t="s">
        <v>416</v>
      </c>
      <c r="E154" s="192"/>
      <c r="F154" s="192"/>
      <c r="G154" s="210"/>
      <c r="H154" s="131"/>
      <c r="I154" s="204"/>
      <c r="J154" s="192"/>
      <c r="K154" s="139"/>
      <c r="L154" s="210"/>
      <c r="M154" s="108"/>
      <c r="N154" s="209"/>
      <c r="O154" s="269"/>
      <c r="P154" s="209" t="str">
        <f t="shared" si="9"/>
        <v/>
      </c>
    </row>
    <row r="155" spans="1:16">
      <c r="B155" s="134">
        <f t="shared" si="12"/>
        <v>88</v>
      </c>
      <c r="C155" s="133"/>
      <c r="D155" s="205" t="s">
        <v>415</v>
      </c>
      <c r="E155" s="131" t="s">
        <v>414</v>
      </c>
      <c r="F155" s="131"/>
      <c r="G155" s="154">
        <f>+'[6]OKT WS L Other Taxes'!I46</f>
        <v>0</v>
      </c>
      <c r="H155" s="154"/>
      <c r="I155" s="204" t="s">
        <v>262</v>
      </c>
      <c r="J155" s="214">
        <f>VLOOKUP(I155,PSO_TU_Allocators,2,FALSE)</f>
        <v>0.9321021428866727</v>
      </c>
      <c r="K155" s="139"/>
      <c r="L155" s="210">
        <f>+J155*G155</f>
        <v>0</v>
      </c>
      <c r="M155" s="108"/>
      <c r="N155" s="209">
        <v>0</v>
      </c>
      <c r="O155" s="269"/>
      <c r="P155" s="209">
        <f t="shared" si="9"/>
        <v>0</v>
      </c>
    </row>
    <row r="156" spans="1:16">
      <c r="B156" s="134">
        <f t="shared" si="12"/>
        <v>89</v>
      </c>
      <c r="C156" s="133"/>
      <c r="D156" s="205" t="s">
        <v>413</v>
      </c>
      <c r="E156" s="131" t="s">
        <v>288</v>
      </c>
      <c r="F156" s="131"/>
      <c r="G156" s="154"/>
      <c r="H156" s="154"/>
      <c r="I156" s="204"/>
      <c r="J156" s="192"/>
      <c r="K156" s="139"/>
      <c r="L156" s="210"/>
      <c r="M156" s="108"/>
      <c r="N156" s="209"/>
      <c r="O156" s="269"/>
      <c r="P156" s="209" t="str">
        <f t="shared" si="9"/>
        <v/>
      </c>
    </row>
    <row r="157" spans="1:16">
      <c r="A157" s="105"/>
      <c r="B157" s="115">
        <f t="shared" si="12"/>
        <v>90</v>
      </c>
      <c r="C157" s="114"/>
      <c r="D157" s="155" t="s">
        <v>412</v>
      </c>
      <c r="E157" s="131" t="s">
        <v>411</v>
      </c>
      <c r="F157" s="131"/>
      <c r="G157" s="154">
        <f>+'[6]OKT WS L Other Taxes'!G46</f>
        <v>6878965.25</v>
      </c>
      <c r="H157" s="154"/>
      <c r="I157" s="175" t="s">
        <v>268</v>
      </c>
      <c r="J157" s="214">
        <f>VLOOKUP(I157,PSO_TU_Allocators,2,FALSE)</f>
        <v>0.93210214288667248</v>
      </c>
      <c r="K157" s="131"/>
      <c r="L157" s="154">
        <f>+G157*J157</f>
        <v>6411898.2503679544</v>
      </c>
      <c r="M157" s="108"/>
      <c r="N157" s="209">
        <v>6798720.1570898881</v>
      </c>
      <c r="O157" s="269"/>
      <c r="P157" s="209">
        <f t="shared" si="9"/>
        <v>386821.90672193374</v>
      </c>
    </row>
    <row r="158" spans="1:16">
      <c r="B158" s="134">
        <f t="shared" si="12"/>
        <v>91</v>
      </c>
      <c r="C158" s="133"/>
      <c r="D158" s="205" t="s">
        <v>410</v>
      </c>
      <c r="E158" s="131" t="s">
        <v>409</v>
      </c>
      <c r="F158" s="131"/>
      <c r="G158" s="154">
        <f>+'[6]OKT WS L Other Taxes'!M46</f>
        <v>0</v>
      </c>
      <c r="H158" s="143"/>
      <c r="I158" s="204" t="s">
        <v>266</v>
      </c>
      <c r="J158" s="214">
        <f>VLOOKUP(I158,PSO_TU_Allocators,2,FALSE)</f>
        <v>0</v>
      </c>
      <c r="K158" s="139"/>
      <c r="L158" s="210">
        <f>+J158*G158</f>
        <v>0</v>
      </c>
      <c r="M158" s="108"/>
      <c r="N158" s="209">
        <v>0</v>
      </c>
      <c r="O158" s="269"/>
      <c r="P158" s="209">
        <f t="shared" si="9"/>
        <v>0</v>
      </c>
    </row>
    <row r="159" spans="1:16" ht="15.75" thickBot="1">
      <c r="B159" s="134">
        <f t="shared" si="12"/>
        <v>92</v>
      </c>
      <c r="C159" s="133"/>
      <c r="D159" s="205" t="s">
        <v>408</v>
      </c>
      <c r="E159" s="131" t="s">
        <v>407</v>
      </c>
      <c r="F159" s="131"/>
      <c r="G159" s="163">
        <f>+'[6]OKT WS L Other Taxes'!K46</f>
        <v>20000.25</v>
      </c>
      <c r="H159" s="143"/>
      <c r="I159" s="204" t="s">
        <v>268</v>
      </c>
      <c r="J159" s="214">
        <f>VLOOKUP(I159,PSO_TU_Allocators,2,FALSE)</f>
        <v>0.93210214288667248</v>
      </c>
      <c r="K159" s="139"/>
      <c r="L159" s="212">
        <f>+J159*G159</f>
        <v>18642.275883269172</v>
      </c>
      <c r="M159" s="108"/>
      <c r="N159" s="211">
        <v>19766.941375643237</v>
      </c>
      <c r="O159" s="269"/>
      <c r="P159" s="211">
        <f t="shared" si="9"/>
        <v>1124.6654923740643</v>
      </c>
    </row>
    <row r="160" spans="1:16">
      <c r="B160" s="134">
        <f t="shared" si="12"/>
        <v>93</v>
      </c>
      <c r="C160" s="133"/>
      <c r="D160" s="205" t="s">
        <v>406</v>
      </c>
      <c r="E160" s="303" t="str">
        <f>"(sum lns "&amp;B155&amp;" to "&amp;B159&amp;")"</f>
        <v>(sum lns 88 to 92)</v>
      </c>
      <c r="F160" s="139"/>
      <c r="G160" s="154">
        <f>SUM(G155:G159)</f>
        <v>6898965.5</v>
      </c>
      <c r="H160" s="131"/>
      <c r="I160" s="204"/>
      <c r="J160" s="270"/>
      <c r="K160" s="139"/>
      <c r="L160" s="210">
        <f>SUM(L155:L159)</f>
        <v>6430540.5262512239</v>
      </c>
      <c r="M160" s="108"/>
      <c r="N160" s="209">
        <v>6818487.0984655311</v>
      </c>
      <c r="O160" s="269"/>
      <c r="P160" s="209">
        <f t="shared" si="9"/>
        <v>387946.57221430726</v>
      </c>
    </row>
    <row r="161" spans="2:16">
      <c r="B161" s="134"/>
      <c r="C161" s="133"/>
      <c r="D161" s="205"/>
      <c r="E161" s="139"/>
      <c r="F161" s="139"/>
      <c r="G161" s="139"/>
      <c r="H161" s="131"/>
      <c r="I161" s="204"/>
      <c r="J161" s="270"/>
      <c r="K161" s="139"/>
      <c r="L161" s="139"/>
      <c r="M161" s="108"/>
      <c r="N161" s="174"/>
      <c r="O161" s="269"/>
      <c r="P161" s="174" t="str">
        <f t="shared" si="9"/>
        <v/>
      </c>
    </row>
    <row r="162" spans="2:16">
      <c r="B162" s="134">
        <f>+B160+1</f>
        <v>94</v>
      </c>
      <c r="C162" s="133"/>
      <c r="D162" s="205" t="s">
        <v>405</v>
      </c>
      <c r="E162" s="131" t="s">
        <v>404</v>
      </c>
      <c r="F162" s="286"/>
      <c r="G162" s="139"/>
      <c r="H162" s="108"/>
      <c r="I162" s="140"/>
      <c r="J162" s="192"/>
      <c r="K162" s="139"/>
      <c r="L162" s="281"/>
      <c r="M162" s="108"/>
      <c r="N162" s="280"/>
      <c r="O162" s="269"/>
      <c r="P162" s="280" t="str">
        <f t="shared" si="9"/>
        <v/>
      </c>
    </row>
    <row r="163" spans="2:16">
      <c r="B163" s="134">
        <f t="shared" ref="B163:B168" si="13">+B162+1</f>
        <v>95</v>
      </c>
      <c r="C163" s="133"/>
      <c r="D163" s="261" t="s">
        <v>403</v>
      </c>
      <c r="E163" s="293"/>
      <c r="F163" s="296"/>
      <c r="G163" s="302">
        <f>IF(F313&gt;0,1-(((1-F314)*(1-F313))/(1-F314*F313*F315)),0)</f>
        <v>0.38678999999999997</v>
      </c>
      <c r="H163" s="301"/>
      <c r="I163" s="295"/>
      <c r="J163" s="301"/>
      <c r="K163" s="293"/>
      <c r="L163" s="281"/>
      <c r="M163" s="108"/>
      <c r="N163" s="280"/>
      <c r="O163" s="269"/>
      <c r="P163" s="280" t="str">
        <f t="shared" si="9"/>
        <v/>
      </c>
    </row>
    <row r="164" spans="2:16">
      <c r="B164" s="134">
        <f t="shared" si="13"/>
        <v>96</v>
      </c>
      <c r="C164" s="133"/>
      <c r="D164" s="276" t="s">
        <v>402</v>
      </c>
      <c r="E164" s="293"/>
      <c r="F164" s="296"/>
      <c r="G164" s="302">
        <f>IF(L244&gt;0,($G163/(1-$G163))*(1-$L225/$L228),0)</f>
        <v>0.45945565208253375</v>
      </c>
      <c r="H164" s="301"/>
      <c r="I164" s="295"/>
      <c r="J164" s="281"/>
      <c r="K164" s="293"/>
      <c r="L164" s="281"/>
      <c r="M164" s="108"/>
      <c r="N164" s="280"/>
      <c r="O164" s="269"/>
      <c r="P164" s="280" t="str">
        <f t="shared" si="9"/>
        <v/>
      </c>
    </row>
    <row r="165" spans="2:16">
      <c r="B165" s="134">
        <f t="shared" si="13"/>
        <v>97</v>
      </c>
      <c r="C165" s="133"/>
      <c r="D165" s="155" t="str">
        <f>"       where WCLTD=(ln "&amp;B225&amp;") and WACC = (ln "&amp;B228&amp;")"</f>
        <v xml:space="preserve">       where WCLTD=(ln 133) and WACC = (ln 136)</v>
      </c>
      <c r="E165" s="300"/>
      <c r="F165" s="299"/>
      <c r="G165" s="139"/>
      <c r="H165" s="108"/>
      <c r="I165" s="295"/>
      <c r="J165" s="294"/>
      <c r="K165" s="293"/>
      <c r="L165" s="277"/>
      <c r="M165" s="108"/>
      <c r="N165" s="298"/>
      <c r="O165" s="269"/>
      <c r="P165" s="298" t="str">
        <f t="shared" si="9"/>
        <v/>
      </c>
    </row>
    <row r="166" spans="2:16">
      <c r="B166" s="134">
        <f t="shared" si="13"/>
        <v>98</v>
      </c>
      <c r="C166" s="133"/>
      <c r="D166" s="205" t="s">
        <v>401</v>
      </c>
      <c r="E166" s="297"/>
      <c r="F166" s="296"/>
      <c r="G166" s="139"/>
      <c r="H166" s="108"/>
      <c r="I166" s="295"/>
      <c r="J166" s="294"/>
      <c r="K166" s="293"/>
      <c r="L166" s="281"/>
      <c r="M166" s="108"/>
      <c r="N166" s="280"/>
      <c r="O166" s="269"/>
      <c r="P166" s="280" t="str">
        <f t="shared" si="9"/>
        <v/>
      </c>
    </row>
    <row r="167" spans="2:16">
      <c r="B167" s="134">
        <f t="shared" si="13"/>
        <v>99</v>
      </c>
      <c r="C167" s="133"/>
      <c r="D167" s="268" t="str">
        <f>"      GRCF=1 / (1 - T)  = (from ln "&amp;B163&amp;")"</f>
        <v xml:space="preserve">      GRCF=1 / (1 - T)  = (from ln 95)</v>
      </c>
      <c r="E167" s="292"/>
      <c r="F167" s="286"/>
      <c r="G167" s="291">
        <f>IF(G163&gt;0,1/(1-G163),0)</f>
        <v>1.6307627077183997</v>
      </c>
      <c r="H167" s="108"/>
      <c r="I167" s="278"/>
      <c r="J167" s="290"/>
      <c r="K167" s="265"/>
      <c r="L167" s="289"/>
      <c r="M167" s="108"/>
      <c r="N167" s="430"/>
      <c r="O167" s="269"/>
      <c r="P167" s="430" t="str">
        <f t="shared" si="9"/>
        <v/>
      </c>
    </row>
    <row r="168" spans="2:16">
      <c r="B168" s="134">
        <f t="shared" si="13"/>
        <v>100</v>
      </c>
      <c r="C168" s="133"/>
      <c r="D168" s="205" t="s">
        <v>400</v>
      </c>
      <c r="E168" s="287" t="s">
        <v>399</v>
      </c>
      <c r="F168" s="286"/>
      <c r="G168" s="154">
        <f>+'[6]OKT Historic TCOS'!G180</f>
        <v>0</v>
      </c>
      <c r="H168" s="108"/>
      <c r="I168" s="278"/>
      <c r="J168" s="285"/>
      <c r="K168" s="265"/>
      <c r="L168" s="284"/>
      <c r="M168" s="108"/>
      <c r="N168" s="263"/>
      <c r="O168" s="269"/>
      <c r="P168" s="263" t="str">
        <f t="shared" si="9"/>
        <v/>
      </c>
    </row>
    <row r="169" spans="2:16">
      <c r="B169" s="134"/>
      <c r="C169" s="133"/>
      <c r="D169" s="205"/>
      <c r="E169" s="283"/>
      <c r="F169" s="282"/>
      <c r="G169" s="210"/>
      <c r="H169" s="108"/>
      <c r="I169" s="278"/>
      <c r="J169" s="277"/>
      <c r="K169" s="265"/>
      <c r="L169" s="281"/>
      <c r="M169" s="108"/>
      <c r="N169" s="280"/>
      <c r="O169" s="269"/>
      <c r="P169" s="280" t="str">
        <f t="shared" si="9"/>
        <v/>
      </c>
    </row>
    <row r="170" spans="2:16">
      <c r="B170" s="134">
        <f>+B168+1</f>
        <v>101</v>
      </c>
      <c r="C170" s="133"/>
      <c r="D170" s="261" t="s">
        <v>398</v>
      </c>
      <c r="E170" s="274" t="str">
        <f>"(ln "&amp;B164&amp;" * ln "&amp;B174&amp;")"</f>
        <v>(ln 96 * ln 104)</v>
      </c>
      <c r="F170" s="279"/>
      <c r="G170" s="210">
        <f>+G164*G174</f>
        <v>19363748.772436388</v>
      </c>
      <c r="H170" s="108"/>
      <c r="I170" s="278"/>
      <c r="J170" s="277"/>
      <c r="K170" s="210"/>
      <c r="L170" s="210">
        <f>+L174*G164</f>
        <v>17625535.364848051</v>
      </c>
      <c r="M170" s="108"/>
      <c r="N170" s="209">
        <v>18647633.06337468</v>
      </c>
      <c r="O170" s="269"/>
      <c r="P170" s="209">
        <f t="shared" si="9"/>
        <v>1022097.6985266283</v>
      </c>
    </row>
    <row r="171" spans="2:16" ht="15.75" thickBot="1">
      <c r="B171" s="134">
        <f>+B170+1</f>
        <v>102</v>
      </c>
      <c r="C171" s="133"/>
      <c r="D171" s="276" t="s">
        <v>397</v>
      </c>
      <c r="E171" s="274" t="str">
        <f>"(ln "&amp;B167&amp;" * ln "&amp;B168&amp;")"</f>
        <v>(ln 99 * ln 100)</v>
      </c>
      <c r="F171" s="274"/>
      <c r="G171" s="212">
        <f>G167*G168</f>
        <v>0</v>
      </c>
      <c r="H171" s="108"/>
      <c r="I171" s="275" t="s">
        <v>265</v>
      </c>
      <c r="J171" s="214">
        <f>VLOOKUP(I171,PSO_TU_Allocators,2,FALSE)</f>
        <v>0.92880955981852253</v>
      </c>
      <c r="K171" s="210"/>
      <c r="L171" s="212">
        <f>+G171*J171</f>
        <v>0</v>
      </c>
      <c r="M171" s="108"/>
      <c r="N171" s="211">
        <v>0</v>
      </c>
      <c r="O171" s="269"/>
      <c r="P171" s="211">
        <f t="shared" si="9"/>
        <v>0</v>
      </c>
    </row>
    <row r="172" spans="2:16">
      <c r="B172" s="134">
        <f>+B171+1</f>
        <v>103</v>
      </c>
      <c r="C172" s="133"/>
      <c r="D172" s="261" t="s">
        <v>396</v>
      </c>
      <c r="E172" s="139" t="str">
        <f>"(sum lns "&amp;B170&amp;" to "&amp;B171&amp;")"</f>
        <v>(sum lns 101 to 102)</v>
      </c>
      <c r="F172" s="274"/>
      <c r="G172" s="272">
        <f>SUM(G170:G171)</f>
        <v>19363748.772436388</v>
      </c>
      <c r="H172" s="108"/>
      <c r="I172" s="255" t="s">
        <v>288</v>
      </c>
      <c r="J172" s="273"/>
      <c r="K172" s="210"/>
      <c r="L172" s="272">
        <f>SUM(L170:L171)</f>
        <v>17625535.364848051</v>
      </c>
      <c r="M172" s="108"/>
      <c r="N172" s="271">
        <v>18647633.06337468</v>
      </c>
      <c r="O172" s="269"/>
      <c r="P172" s="271">
        <f t="shared" si="9"/>
        <v>1022097.6985266283</v>
      </c>
    </row>
    <row r="173" spans="2:16">
      <c r="B173" s="134"/>
      <c r="C173" s="133"/>
      <c r="D173" s="205"/>
      <c r="E173" s="139"/>
      <c r="F173" s="139"/>
      <c r="G173" s="139"/>
      <c r="H173" s="131"/>
      <c r="I173" s="204"/>
      <c r="J173" s="270"/>
      <c r="K173" s="139"/>
      <c r="L173" s="139"/>
      <c r="M173" s="108"/>
      <c r="N173" s="174"/>
      <c r="O173" s="269"/>
      <c r="P173" s="174" t="str">
        <f t="shared" si="9"/>
        <v/>
      </c>
    </row>
    <row r="174" spans="2:16">
      <c r="B174" s="134">
        <f>+B172+1</f>
        <v>104</v>
      </c>
      <c r="C174" s="133"/>
      <c r="D174" s="268" t="s">
        <v>395</v>
      </c>
      <c r="E174" s="268" t="str">
        <f>"(ln "&amp;B111&amp;" * ln "&amp;B228&amp;")"</f>
        <v>(ln 63 * ln 136)</v>
      </c>
      <c r="F174" s="267"/>
      <c r="G174" s="266">
        <f>+$L228*G111</f>
        <v>42144978.921617456</v>
      </c>
      <c r="H174" s="131"/>
      <c r="I174" s="255"/>
      <c r="J174" s="265"/>
      <c r="K174" s="210"/>
      <c r="L174" s="264">
        <f>+L228*L111</f>
        <v>38361777.213879846</v>
      </c>
      <c r="M174" s="108"/>
      <c r="N174" s="262">
        <v>40586361.227361582</v>
      </c>
      <c r="O174" s="263"/>
      <c r="P174" s="262">
        <f t="shared" si="9"/>
        <v>2224584.0134817362</v>
      </c>
    </row>
    <row r="175" spans="2:16">
      <c r="B175" s="134"/>
      <c r="C175" s="133"/>
      <c r="D175" s="261"/>
      <c r="E175" s="192"/>
      <c r="F175" s="192"/>
      <c r="G175" s="210"/>
      <c r="H175" s="210"/>
      <c r="I175" s="255"/>
      <c r="J175" s="255"/>
      <c r="K175" s="210"/>
      <c r="L175" s="210"/>
      <c r="M175" s="108"/>
      <c r="N175" s="209"/>
      <c r="O175" s="151"/>
      <c r="P175" s="209" t="str">
        <f t="shared" si="9"/>
        <v/>
      </c>
    </row>
    <row r="176" spans="2:16">
      <c r="B176" s="134">
        <f>+B174+1</f>
        <v>105</v>
      </c>
      <c r="C176" s="133"/>
      <c r="D176" s="260" t="s">
        <v>394</v>
      </c>
      <c r="E176" s="192"/>
      <c r="F176" s="259"/>
      <c r="G176" s="154">
        <f>'[6]OKT WS E IPP Credits'!C11</f>
        <v>0</v>
      </c>
      <c r="H176" s="154"/>
      <c r="I176" s="258" t="s">
        <v>269</v>
      </c>
      <c r="J176" s="214">
        <f>VLOOKUP(I176,PSO_TU_Allocators,2,FALSE)</f>
        <v>1</v>
      </c>
      <c r="K176" s="257"/>
      <c r="L176" s="210">
        <f>+J176*G176</f>
        <v>0</v>
      </c>
      <c r="M176" s="108"/>
      <c r="N176" s="209">
        <v>0</v>
      </c>
      <c r="O176" s="151"/>
      <c r="P176" s="209">
        <f t="shared" si="9"/>
        <v>0</v>
      </c>
    </row>
    <row r="177" spans="2:16" ht="15.75" thickBot="1">
      <c r="B177" s="134"/>
      <c r="C177" s="133"/>
      <c r="D177" s="205"/>
      <c r="E177" s="192"/>
      <c r="F177" s="192"/>
      <c r="G177" s="212"/>
      <c r="H177" s="256"/>
      <c r="I177" s="255"/>
      <c r="J177" s="255"/>
      <c r="K177" s="210"/>
      <c r="L177" s="212"/>
      <c r="M177" s="108"/>
      <c r="N177" s="211"/>
      <c r="O177" s="151"/>
      <c r="P177" s="211" t="str">
        <f t="shared" si="9"/>
        <v/>
      </c>
    </row>
    <row r="178" spans="2:16" ht="15.75" thickBot="1">
      <c r="B178" s="134">
        <f>+B176+1</f>
        <v>106</v>
      </c>
      <c r="C178" s="133"/>
      <c r="D178" s="135" t="s">
        <v>393</v>
      </c>
      <c r="E178" s="251"/>
      <c r="F178" s="251"/>
      <c r="G178" s="254">
        <f>G144+G151+G160+G172+G174+G176</f>
        <v>99422153.690494612</v>
      </c>
      <c r="H178" s="210"/>
      <c r="I178" s="255"/>
      <c r="J178" s="248"/>
      <c r="K178" s="210"/>
      <c r="L178" s="254">
        <f>L144+L151+L160+L172+L174+L176</f>
        <v>91355761.056834936</v>
      </c>
      <c r="M178" s="108"/>
      <c r="N178" s="253">
        <v>96710176.899025589</v>
      </c>
      <c r="O178" s="151"/>
      <c r="P178" s="253">
        <f t="shared" si="9"/>
        <v>5354415.8421906531</v>
      </c>
    </row>
    <row r="179" spans="2:16" ht="15.75" thickTop="1">
      <c r="B179" s="134">
        <f>+B178+1</f>
        <v>107</v>
      </c>
      <c r="C179" s="133"/>
      <c r="D179" s="119" t="str">
        <f>"    (sum lns "&amp;B144&amp;", "&amp;B151&amp;", "&amp;B160&amp;", "&amp;B172&amp;", "&amp;B174&amp;", "&amp;B176&amp;")"</f>
        <v xml:space="preserve">    (sum lns 80, 85, 93, 103, 104, 105)</v>
      </c>
      <c r="E179" s="251"/>
      <c r="F179" s="251"/>
      <c r="G179" s="252"/>
      <c r="H179" s="210"/>
      <c r="I179" s="210"/>
      <c r="J179" s="248"/>
      <c r="K179" s="210"/>
      <c r="L179" s="252"/>
      <c r="M179" s="108"/>
      <c r="N179" s="236"/>
      <c r="O179" s="151"/>
      <c r="P179" s="236" t="str">
        <f t="shared" si="9"/>
        <v/>
      </c>
    </row>
    <row r="180" spans="2:16">
      <c r="B180" s="134"/>
      <c r="C180" s="133"/>
      <c r="D180" s="135"/>
      <c r="E180" s="251"/>
      <c r="F180" s="251"/>
      <c r="G180" s="252"/>
      <c r="H180" s="210"/>
      <c r="I180" s="210"/>
      <c r="J180" s="248"/>
      <c r="K180" s="210"/>
      <c r="L180" s="252"/>
      <c r="M180" s="108"/>
      <c r="N180" s="236"/>
      <c r="O180" s="151"/>
      <c r="P180" s="236" t="str">
        <f t="shared" si="9"/>
        <v/>
      </c>
    </row>
    <row r="181" spans="2:16">
      <c r="B181" s="134">
        <f>+B179+1</f>
        <v>108</v>
      </c>
      <c r="C181" s="133"/>
      <c r="D181" s="135" t="s">
        <v>392</v>
      </c>
      <c r="F181" s="251"/>
      <c r="G181" s="201">
        <f>+'[6]OKT WS K State Taxes'!Q41</f>
        <v>0</v>
      </c>
      <c r="H181" s="210"/>
      <c r="I181" s="210" t="s">
        <v>269</v>
      </c>
      <c r="J181" s="248"/>
      <c r="K181" s="210"/>
      <c r="L181" s="201">
        <f>+'[6]OKT WS K State Taxes'!S41</f>
        <v>0</v>
      </c>
      <c r="M181" s="108"/>
      <c r="N181" s="428">
        <v>0</v>
      </c>
      <c r="O181" s="151"/>
      <c r="P181" s="428">
        <f t="shared" si="9"/>
        <v>0</v>
      </c>
    </row>
    <row r="182" spans="2:16" ht="15.75">
      <c r="B182" s="134"/>
      <c r="C182" s="108"/>
      <c r="D182" s="108"/>
      <c r="E182" s="108"/>
      <c r="F182" s="108"/>
      <c r="G182" s="108"/>
      <c r="H182" s="108"/>
      <c r="I182" s="249"/>
      <c r="J182" s="250"/>
      <c r="K182" s="249"/>
      <c r="L182" s="120"/>
      <c r="M182" s="108"/>
      <c r="N182" s="242"/>
      <c r="O182" s="151"/>
      <c r="P182" s="242" t="str">
        <f t="shared" si="9"/>
        <v/>
      </c>
    </row>
    <row r="183" spans="2:16" ht="15.75" thickBot="1">
      <c r="B183" s="134">
        <f>+B181+1</f>
        <v>109</v>
      </c>
      <c r="C183" s="133"/>
      <c r="D183" s="192" t="s">
        <v>391</v>
      </c>
      <c r="E183" s="192"/>
      <c r="F183" s="192"/>
      <c r="G183" s="247">
        <f>+G178+G181</f>
        <v>99422153.690494612</v>
      </c>
      <c r="H183" s="192"/>
      <c r="I183" s="192"/>
      <c r="J183" s="248"/>
      <c r="K183" s="192"/>
      <c r="L183" s="247">
        <f>+L178+L181</f>
        <v>91355761.056834936</v>
      </c>
      <c r="M183" s="108"/>
      <c r="N183" s="429">
        <v>96710176.899025589</v>
      </c>
      <c r="O183" s="151"/>
      <c r="P183" s="429">
        <f t="shared" si="9"/>
        <v>5354415.8421906531</v>
      </c>
    </row>
    <row r="184" spans="2:16" ht="15.75" thickTop="1">
      <c r="B184" s="134"/>
      <c r="C184" s="133"/>
      <c r="D184" s="135"/>
      <c r="E184" s="192"/>
      <c r="F184" s="194"/>
      <c r="G184" s="192"/>
      <c r="H184" s="192"/>
      <c r="I184" s="192"/>
      <c r="J184" s="192"/>
      <c r="K184" s="192"/>
      <c r="L184" s="192"/>
      <c r="M184" s="108"/>
      <c r="N184" s="242"/>
      <c r="O184" s="151"/>
      <c r="P184" s="242" t="str">
        <f t="shared" si="9"/>
        <v/>
      </c>
    </row>
    <row r="185" spans="2:16">
      <c r="B185" s="134"/>
      <c r="C185" s="133"/>
      <c r="D185" s="192"/>
      <c r="E185" s="192"/>
      <c r="F185" s="194"/>
      <c r="G185" s="192"/>
      <c r="H185" s="192"/>
      <c r="I185" s="192"/>
      <c r="J185" s="192"/>
      <c r="K185" s="192"/>
      <c r="L185" s="192"/>
      <c r="M185" s="108"/>
      <c r="N185" s="242"/>
      <c r="O185" s="151"/>
      <c r="P185" s="242" t="str">
        <f t="shared" si="9"/>
        <v/>
      </c>
    </row>
    <row r="186" spans="2:16">
      <c r="B186" s="134"/>
      <c r="C186" s="133"/>
      <c r="D186" s="135"/>
      <c r="E186" s="192"/>
      <c r="F186" s="140" t="str">
        <f>F114</f>
        <v xml:space="preserve">AEP West SPP Member Companies </v>
      </c>
      <c r="G186" s="192"/>
      <c r="H186" s="192"/>
      <c r="I186" s="192"/>
      <c r="J186" s="192"/>
      <c r="K186" s="192"/>
      <c r="L186" s="192"/>
      <c r="M186" s="108"/>
      <c r="N186" s="242"/>
      <c r="O186" s="151"/>
      <c r="P186" s="242" t="str">
        <f t="shared" si="9"/>
        <v/>
      </c>
    </row>
    <row r="187" spans="2:16">
      <c r="B187" s="134"/>
      <c r="C187" s="133"/>
      <c r="D187" s="135"/>
      <c r="E187" s="192"/>
      <c r="F187" s="140" t="str">
        <f>F115</f>
        <v>Transmission Cost of Service Formula Rate</v>
      </c>
      <c r="G187" s="192"/>
      <c r="H187" s="192"/>
      <c r="I187" s="192"/>
      <c r="J187" s="192"/>
      <c r="K187" s="192"/>
      <c r="L187" s="192"/>
      <c r="M187" s="108"/>
      <c r="N187" s="242"/>
      <c r="O187" s="151"/>
      <c r="P187" s="242" t="str">
        <f t="shared" si="9"/>
        <v/>
      </c>
    </row>
    <row r="188" spans="2:16">
      <c r="B188" s="192"/>
      <c r="C188" s="133"/>
      <c r="D188" s="192"/>
      <c r="E188" s="192"/>
      <c r="F188" s="140" t="str">
        <f>F116</f>
        <v>Utilizing Actual Cost Data for 2017 with Average Ratebase Balances</v>
      </c>
      <c r="G188" s="192"/>
      <c r="H188" s="192"/>
      <c r="I188" s="192"/>
      <c r="J188" s="192"/>
      <c r="K188" s="192"/>
      <c r="M188" s="108"/>
      <c r="N188" s="151"/>
      <c r="O188" s="151"/>
      <c r="P188" s="151" t="str">
        <f t="shared" ref="P188:P213" si="14">IF(N188="","",N188-L188)</f>
        <v/>
      </c>
    </row>
    <row r="189" spans="2:16">
      <c r="B189" s="134"/>
      <c r="C189" s="133"/>
      <c r="E189" s="140"/>
      <c r="F189" s="140"/>
      <c r="G189" s="140"/>
      <c r="H189" s="140"/>
      <c r="I189" s="140"/>
      <c r="J189" s="140"/>
      <c r="K189" s="140"/>
      <c r="M189" s="108"/>
      <c r="N189" s="151"/>
      <c r="O189" s="151"/>
      <c r="P189" s="151" t="str">
        <f t="shared" si="14"/>
        <v/>
      </c>
    </row>
    <row r="190" spans="2:16">
      <c r="B190" s="134"/>
      <c r="C190" s="133"/>
      <c r="D190" s="192"/>
      <c r="E190" s="135"/>
      <c r="F190" s="140" t="str">
        <f>F118</f>
        <v>AEP OKLAHOMA TRANSMISSION COMPANY, INC</v>
      </c>
      <c r="G190" s="135"/>
      <c r="H190" s="135"/>
      <c r="I190" s="135"/>
      <c r="J190" s="135"/>
      <c r="K190" s="135"/>
      <c r="L190" s="135"/>
      <c r="M190" s="108"/>
      <c r="N190" s="245"/>
      <c r="O190" s="151"/>
      <c r="P190" s="245" t="str">
        <f t="shared" si="14"/>
        <v/>
      </c>
    </row>
    <row r="191" spans="2:16">
      <c r="B191" s="134"/>
      <c r="C191" s="133"/>
      <c r="D191" s="192"/>
      <c r="E191" s="135"/>
      <c r="F191" s="140"/>
      <c r="G191" s="210"/>
      <c r="H191" s="135"/>
      <c r="I191" s="135"/>
      <c r="J191" s="135"/>
      <c r="K191" s="135"/>
      <c r="L191" s="210"/>
      <c r="M191" s="108"/>
      <c r="N191" s="209"/>
      <c r="O191" s="151"/>
      <c r="P191" s="209" t="str">
        <f t="shared" si="14"/>
        <v/>
      </c>
    </row>
    <row r="192" spans="2:16" ht="15.75">
      <c r="B192" s="134"/>
      <c r="C192" s="133"/>
      <c r="D192" s="192"/>
      <c r="F192" s="141" t="s">
        <v>390</v>
      </c>
      <c r="G192" s="192"/>
      <c r="H192" s="138"/>
      <c r="I192" s="138"/>
      <c r="J192" s="138"/>
      <c r="K192" s="138"/>
      <c r="L192" s="138"/>
      <c r="M192" s="108"/>
      <c r="N192" s="221"/>
      <c r="O192" s="151"/>
      <c r="P192" s="221" t="str">
        <f t="shared" si="14"/>
        <v/>
      </c>
    </row>
    <row r="193" spans="2:16" ht="15.75">
      <c r="B193" s="134"/>
      <c r="C193" s="133"/>
      <c r="D193" s="244"/>
      <c r="E193" s="138"/>
      <c r="F193" s="138"/>
      <c r="G193" s="138"/>
      <c r="H193" s="138"/>
      <c r="I193" s="138"/>
      <c r="J193" s="138"/>
      <c r="K193" s="138"/>
      <c r="L193" s="138"/>
      <c r="M193" s="108"/>
      <c r="N193" s="221"/>
      <c r="O193" s="151"/>
      <c r="P193" s="221" t="str">
        <f t="shared" si="14"/>
        <v/>
      </c>
    </row>
    <row r="194" spans="2:16" ht="15.75">
      <c r="B194" s="134" t="s">
        <v>389</v>
      </c>
      <c r="C194" s="133"/>
      <c r="D194" s="244"/>
      <c r="E194" s="138"/>
      <c r="F194" s="138"/>
      <c r="G194" s="138"/>
      <c r="H194" s="138"/>
      <c r="I194" s="138"/>
      <c r="J194" s="138"/>
      <c r="K194" s="138"/>
      <c r="L194" s="138"/>
      <c r="M194" s="108"/>
      <c r="N194" s="221"/>
      <c r="O194" s="151"/>
      <c r="P194" s="221" t="str">
        <f t="shared" si="14"/>
        <v/>
      </c>
    </row>
    <row r="195" spans="2:16" ht="15.75" thickBot="1">
      <c r="B195" s="243" t="s">
        <v>388</v>
      </c>
      <c r="C195" s="132"/>
      <c r="D195" s="119" t="s">
        <v>387</v>
      </c>
      <c r="E195" s="125"/>
      <c r="F195" s="125"/>
      <c r="G195" s="125"/>
      <c r="H195" s="125"/>
      <c r="I195" s="125"/>
      <c r="J195" s="125"/>
      <c r="K195" s="120"/>
      <c r="L195" s="192"/>
      <c r="M195" s="108"/>
      <c r="N195" s="242"/>
      <c r="O195" s="151"/>
      <c r="P195" s="242" t="str">
        <f t="shared" si="14"/>
        <v/>
      </c>
    </row>
    <row r="196" spans="2:16">
      <c r="B196" s="134">
        <f>+B183+1</f>
        <v>110</v>
      </c>
      <c r="C196" s="133"/>
      <c r="D196" s="125" t="s">
        <v>386</v>
      </c>
      <c r="E196" s="241" t="str">
        <f>"(ln "&amp;B56&amp;")"</f>
        <v>(ln 18)</v>
      </c>
      <c r="F196" s="235"/>
      <c r="H196" s="233"/>
      <c r="I196" s="233"/>
      <c r="J196" s="233"/>
      <c r="K196" s="233"/>
      <c r="L196" s="237">
        <f>+G56</f>
        <v>740877397</v>
      </c>
      <c r="M196" s="108"/>
      <c r="N196" s="236">
        <v>740877397</v>
      </c>
      <c r="O196" s="151"/>
      <c r="P196" s="236">
        <f t="shared" si="14"/>
        <v>0</v>
      </c>
    </row>
    <row r="197" spans="2:16">
      <c r="B197" s="134">
        <f>+B196+1</f>
        <v>111</v>
      </c>
      <c r="C197" s="133"/>
      <c r="D197" s="125" t="s">
        <v>385</v>
      </c>
      <c r="E197" s="232"/>
      <c r="F197" s="232"/>
      <c r="G197" s="240"/>
      <c r="H197" s="232"/>
      <c r="I197" s="232"/>
      <c r="J197" s="232"/>
      <c r="K197" s="232"/>
      <c r="L197" s="239">
        <v>50303987.639999986</v>
      </c>
      <c r="M197" s="108"/>
      <c r="N197" s="425">
        <v>8642546.2837260012</v>
      </c>
      <c r="O197" s="151"/>
      <c r="P197" s="425">
        <f t="shared" si="14"/>
        <v>-41661441.356273986</v>
      </c>
    </row>
    <row r="198" spans="2:16" ht="15.75" thickBot="1">
      <c r="B198" s="134">
        <f>+B197+1</f>
        <v>112</v>
      </c>
      <c r="C198" s="133"/>
      <c r="D198" s="235" t="str">
        <f>"  Less transmission plant included in OATT Ancillary Services (Worksheet A, ln "&amp;'[6]OKT WS A RB Support '!A62&amp;", Col. "&amp;'[6]OKT WS A RB Support '!E6&amp;")  (Note R)"</f>
        <v xml:space="preserve">  Less transmission plant included in OATT Ancillary Services (Worksheet A, ln 23, Col. (C))  (Note R)</v>
      </c>
      <c r="E198" s="235"/>
      <c r="F198" s="235"/>
      <c r="G198" s="234"/>
      <c r="H198" s="233"/>
      <c r="I198" s="233"/>
      <c r="J198" s="234"/>
      <c r="K198" s="233"/>
      <c r="L198" s="199">
        <f>+'[6]OKT WS A RB Support '!G62</f>
        <v>0</v>
      </c>
      <c r="M198" s="108"/>
      <c r="N198" s="427">
        <v>0</v>
      </c>
      <c r="O198" s="151"/>
      <c r="P198" s="427">
        <f t="shared" si="14"/>
        <v>0</v>
      </c>
    </row>
    <row r="199" spans="2:16">
      <c r="B199" s="134">
        <f>+B198+1</f>
        <v>113</v>
      </c>
      <c r="C199" s="133"/>
      <c r="D199" s="125" t="s">
        <v>384</v>
      </c>
      <c r="E199" s="238" t="str">
        <f>"(ln "&amp;B196&amp;" - ln "&amp;B197&amp;" - ln "&amp;B198&amp;")"</f>
        <v>(ln 110 - ln 111 - ln 112)</v>
      </c>
      <c r="F199" s="235"/>
      <c r="H199" s="233"/>
      <c r="I199" s="233"/>
      <c r="J199" s="234"/>
      <c r="K199" s="233"/>
      <c r="L199" s="237">
        <f>L196-L197-L198</f>
        <v>690573409.36000001</v>
      </c>
      <c r="M199" s="108"/>
      <c r="N199" s="236">
        <v>732234850.71627402</v>
      </c>
      <c r="O199" s="151"/>
      <c r="P199" s="236">
        <f t="shared" si="14"/>
        <v>41661441.356274009</v>
      </c>
    </row>
    <row r="200" spans="2:16">
      <c r="B200" s="134"/>
      <c r="C200" s="133"/>
      <c r="D200" s="120"/>
      <c r="E200" s="235"/>
      <c r="F200" s="235"/>
      <c r="G200" s="234"/>
      <c r="H200" s="233"/>
      <c r="I200" s="233"/>
      <c r="J200" s="234"/>
      <c r="K200" s="233"/>
      <c r="L200" s="232"/>
      <c r="M200" s="108"/>
      <c r="N200" s="231"/>
      <c r="O200" s="151"/>
      <c r="P200" s="231" t="str">
        <f t="shared" si="14"/>
        <v/>
      </c>
    </row>
    <row r="201" spans="2:16" ht="15.75">
      <c r="B201" s="134">
        <f>+B199+1</f>
        <v>114</v>
      </c>
      <c r="C201" s="133"/>
      <c r="D201" s="125" t="s">
        <v>383</v>
      </c>
      <c r="E201" s="230" t="str">
        <f>"(ln "&amp;B199&amp;" / ln "&amp;B196&amp;")"</f>
        <v>(ln 113 / ln 110)</v>
      </c>
      <c r="F201" s="229"/>
      <c r="H201" s="228"/>
      <c r="I201" s="227"/>
      <c r="J201" s="227"/>
      <c r="K201" s="226" t="s">
        <v>382</v>
      </c>
      <c r="L201" s="225">
        <f>IF(L196&gt;0,L199/L196,0)</f>
        <v>0.93210214288667259</v>
      </c>
      <c r="M201" s="108"/>
      <c r="N201" s="224">
        <v>0.9883347145982293</v>
      </c>
      <c r="O201" s="151"/>
      <c r="P201" s="224">
        <f t="shared" si="14"/>
        <v>5.6232571711556711E-2</v>
      </c>
    </row>
    <row r="202" spans="2:16" ht="15.75">
      <c r="B202" s="134"/>
      <c r="C202" s="133"/>
      <c r="D202" s="223"/>
      <c r="E202" s="125"/>
      <c r="F202" s="125"/>
      <c r="G202" s="222"/>
      <c r="H202" s="125"/>
      <c r="I202" s="114"/>
      <c r="J202" s="125"/>
      <c r="K202" s="125"/>
      <c r="L202" s="138"/>
      <c r="M202" s="108"/>
      <c r="N202" s="221"/>
      <c r="O202" s="151"/>
      <c r="P202" s="221" t="str">
        <f t="shared" si="14"/>
        <v/>
      </c>
    </row>
    <row r="203" spans="2:16" ht="45">
      <c r="B203" s="115">
        <f>B201+1</f>
        <v>115</v>
      </c>
      <c r="C203" s="114"/>
      <c r="D203" s="119" t="s">
        <v>381</v>
      </c>
      <c r="E203" s="175" t="s">
        <v>343</v>
      </c>
      <c r="F203" s="175" t="s">
        <v>380</v>
      </c>
      <c r="G203" s="220" t="s">
        <v>379</v>
      </c>
      <c r="H203" s="219" t="s">
        <v>372</v>
      </c>
      <c r="I203" s="204"/>
      <c r="J203" s="139"/>
      <c r="K203" s="139"/>
      <c r="L203" s="139"/>
      <c r="M203" s="108"/>
      <c r="N203" s="174"/>
      <c r="O203" s="151"/>
      <c r="P203" s="174" t="str">
        <f t="shared" si="14"/>
        <v/>
      </c>
    </row>
    <row r="204" spans="2:16">
      <c r="B204" s="115">
        <f t="shared" ref="B204:B209" si="15">+B203+1</f>
        <v>116</v>
      </c>
      <c r="C204" s="114"/>
      <c r="D204" s="217" t="s">
        <v>374</v>
      </c>
      <c r="E204" s="131"/>
      <c r="F204" s="131"/>
      <c r="G204" s="154"/>
      <c r="H204" s="154"/>
      <c r="I204" s="175"/>
      <c r="J204" s="214"/>
      <c r="K204" s="131"/>
      <c r="L204" s="154"/>
      <c r="M204" s="108"/>
      <c r="N204" s="209"/>
      <c r="O204" s="151"/>
      <c r="P204" s="209" t="str">
        <f t="shared" si="14"/>
        <v/>
      </c>
    </row>
    <row r="205" spans="2:16">
      <c r="B205" s="115">
        <f t="shared" si="15"/>
        <v>117</v>
      </c>
      <c r="C205" s="114"/>
      <c r="D205" s="155" t="s">
        <v>378</v>
      </c>
      <c r="E205" s="131" t="s">
        <v>377</v>
      </c>
      <c r="F205" s="131">
        <f>+'[6]OKT Historic TCOS'!F217</f>
        <v>0</v>
      </c>
      <c r="G205" s="131">
        <f>+'[6]OKT Historic TCOS'!G217+48</f>
        <v>2367918</v>
      </c>
      <c r="H205" s="218">
        <f>+F205+G205</f>
        <v>2367918</v>
      </c>
      <c r="I205" s="114" t="s">
        <v>264</v>
      </c>
      <c r="J205" s="214">
        <f>VLOOKUP(I205,PSO_TU_Allocators,2,FALSE)</f>
        <v>0.93210214288667259</v>
      </c>
      <c r="K205" s="213"/>
      <c r="L205" s="210">
        <f>(F205+G205)*J205</f>
        <v>2207141.4419799242</v>
      </c>
      <c r="M205" s="108"/>
      <c r="N205" s="209">
        <v>2340295.5607220097</v>
      </c>
      <c r="O205" s="151"/>
      <c r="P205" s="209">
        <f t="shared" si="14"/>
        <v>133154.11874208553</v>
      </c>
    </row>
    <row r="206" spans="2:16">
      <c r="B206" s="115">
        <f t="shared" si="15"/>
        <v>118</v>
      </c>
      <c r="C206" s="114"/>
      <c r="D206" s="155" t="s">
        <v>376</v>
      </c>
      <c r="E206" s="131" t="s">
        <v>375</v>
      </c>
      <c r="F206" s="131">
        <f>+'[6]OKT Historic TCOS'!F218</f>
        <v>0</v>
      </c>
      <c r="G206" s="131">
        <f>+'[6]OKT Historic TCOS'!G218</f>
        <v>0</v>
      </c>
      <c r="H206" s="218">
        <f>+F206+G206</f>
        <v>0</v>
      </c>
      <c r="I206" s="204" t="s">
        <v>266</v>
      </c>
      <c r="J206" s="214">
        <f>VLOOKUP(I206,PSO_TU_Allocators,2,FALSE)</f>
        <v>0</v>
      </c>
      <c r="K206" s="213"/>
      <c r="L206" s="210">
        <f>(F206+G206)*J206</f>
        <v>0</v>
      </c>
      <c r="M206" s="108"/>
      <c r="N206" s="209">
        <v>0</v>
      </c>
      <c r="O206" s="151"/>
      <c r="P206" s="209">
        <f t="shared" si="14"/>
        <v>0</v>
      </c>
    </row>
    <row r="207" spans="2:16">
      <c r="B207" s="115">
        <f t="shared" si="15"/>
        <v>119</v>
      </c>
      <c r="C207" s="114"/>
      <c r="D207" s="217" t="s">
        <v>374</v>
      </c>
      <c r="E207" s="131"/>
      <c r="F207" s="131"/>
      <c r="G207" s="154"/>
      <c r="H207" s="154"/>
      <c r="I207" s="175"/>
      <c r="J207" s="214"/>
      <c r="K207" s="131"/>
      <c r="L207" s="154"/>
      <c r="M207" s="108"/>
      <c r="N207" s="209"/>
      <c r="O207" s="151"/>
      <c r="P207" s="209" t="str">
        <f t="shared" si="14"/>
        <v/>
      </c>
    </row>
    <row r="208" spans="2:16" ht="15.75" thickBot="1">
      <c r="B208" s="115">
        <f t="shared" si="15"/>
        <v>120</v>
      </c>
      <c r="C208" s="114"/>
      <c r="D208" s="155" t="s">
        <v>373</v>
      </c>
      <c r="E208" s="139">
        <v>0</v>
      </c>
      <c r="F208" s="216">
        <f>+'[6]OKT Historic TCOS'!F220</f>
        <v>0</v>
      </c>
      <c r="G208" s="216">
        <v>0</v>
      </c>
      <c r="H208" s="215">
        <f>+F208+G208</f>
        <v>0</v>
      </c>
      <c r="I208" s="204" t="s">
        <v>266</v>
      </c>
      <c r="J208" s="214">
        <f>VLOOKUP(I208,PSO_TU_Allocators,2,FALSE)</f>
        <v>0</v>
      </c>
      <c r="K208" s="213"/>
      <c r="L208" s="212">
        <f>(F208+G208)*J208</f>
        <v>0</v>
      </c>
      <c r="M208" s="108"/>
      <c r="N208" s="211">
        <v>0</v>
      </c>
      <c r="O208" s="151"/>
      <c r="P208" s="211">
        <f t="shared" si="14"/>
        <v>0</v>
      </c>
    </row>
    <row r="209" spans="2:16">
      <c r="B209" s="115">
        <f t="shared" si="15"/>
        <v>121</v>
      </c>
      <c r="C209" s="114"/>
      <c r="D209" s="155" t="s">
        <v>372</v>
      </c>
      <c r="E209" s="155" t="str">
        <f>"(sum lns "&amp;B204&amp;" to "&amp;B208&amp;")"</f>
        <v>(sum lns 116 to 120)</v>
      </c>
      <c r="F209" s="131">
        <f>SUM(F204:F208)</f>
        <v>0</v>
      </c>
      <c r="G209" s="131">
        <f>SUM(G204:G208)</f>
        <v>2367918</v>
      </c>
      <c r="H209" s="131">
        <f>SUM(H204:H208)</f>
        <v>2367918</v>
      </c>
      <c r="I209" s="204"/>
      <c r="J209" s="139"/>
      <c r="K209" s="139"/>
      <c r="L209" s="210">
        <f>SUM(L204:L208)</f>
        <v>2207141.4419799242</v>
      </c>
      <c r="M209" s="108"/>
      <c r="N209" s="209">
        <v>2340295.5607220097</v>
      </c>
      <c r="O209" s="151"/>
      <c r="P209" s="209">
        <f t="shared" si="14"/>
        <v>133154.11874208553</v>
      </c>
    </row>
    <row r="210" spans="2:16">
      <c r="B210" s="115"/>
      <c r="C210" s="114"/>
      <c r="D210" s="155" t="s">
        <v>288</v>
      </c>
      <c r="E210" s="131" t="s">
        <v>288</v>
      </c>
      <c r="F210" s="131"/>
      <c r="G210" s="120"/>
      <c r="H210" s="131"/>
      <c r="I210" s="128"/>
      <c r="M210" s="108"/>
      <c r="N210" s="151"/>
      <c r="O210" s="151"/>
      <c r="P210" s="151" t="str">
        <f t="shared" si="14"/>
        <v/>
      </c>
    </row>
    <row r="211" spans="2:16" ht="15.75">
      <c r="B211" s="134">
        <f>B209+1</f>
        <v>122</v>
      </c>
      <c r="C211" s="133"/>
      <c r="D211" s="205" t="s">
        <v>371</v>
      </c>
      <c r="E211" s="131"/>
      <c r="F211" s="131"/>
      <c r="G211" s="131"/>
      <c r="H211" s="131"/>
      <c r="I211" s="128"/>
      <c r="K211" s="208" t="s">
        <v>370</v>
      </c>
      <c r="L211" s="207">
        <f>IF(H209&lt;&gt;0,L209/(F209+G209),0)</f>
        <v>0.9321021428866727</v>
      </c>
      <c r="M211" s="108"/>
      <c r="N211" s="206">
        <v>0.98833471459822919</v>
      </c>
      <c r="O211" s="151"/>
      <c r="P211" s="206">
        <f t="shared" si="14"/>
        <v>5.6232571711556489E-2</v>
      </c>
    </row>
    <row r="212" spans="2:16">
      <c r="B212" s="134"/>
      <c r="C212" s="133"/>
      <c r="D212" s="205"/>
      <c r="E212" s="131"/>
      <c r="F212" s="131"/>
      <c r="G212" s="131"/>
      <c r="H212" s="131"/>
      <c r="I212" s="204"/>
      <c r="J212" s="139"/>
      <c r="K212" s="139"/>
      <c r="L212" s="139"/>
      <c r="M212" s="108"/>
      <c r="N212" s="174"/>
      <c r="O212" s="151"/>
      <c r="P212" s="174" t="str">
        <f t="shared" si="14"/>
        <v/>
      </c>
    </row>
    <row r="213" spans="2:16" ht="15.75">
      <c r="B213" s="134"/>
      <c r="C213" s="133"/>
      <c r="D213" s="195" t="s">
        <v>369</v>
      </c>
      <c r="E213" s="131"/>
      <c r="F213" s="131"/>
      <c r="G213" s="131"/>
      <c r="H213" s="131"/>
      <c r="I213" s="204"/>
      <c r="J213" s="139"/>
      <c r="K213" s="139"/>
      <c r="L213" s="139"/>
      <c r="M213" s="108"/>
      <c r="N213" s="174"/>
      <c r="O213" s="151"/>
      <c r="P213" s="174" t="str">
        <f t="shared" si="14"/>
        <v/>
      </c>
    </row>
    <row r="214" spans="2:16" ht="15.75" thickBot="1">
      <c r="B214" s="115">
        <f>+B211+1</f>
        <v>123</v>
      </c>
      <c r="C214" s="114"/>
      <c r="D214" s="155" t="s">
        <v>363</v>
      </c>
      <c r="E214" s="131"/>
      <c r="F214" s="131"/>
      <c r="G214" s="131"/>
      <c r="H214" s="131"/>
      <c r="I214" s="131"/>
      <c r="J214" s="131"/>
      <c r="K214" s="131"/>
      <c r="L214" s="188" t="s">
        <v>362</v>
      </c>
      <c r="M214" s="108"/>
      <c r="N214" s="187" t="s">
        <v>362</v>
      </c>
      <c r="O214" s="151"/>
      <c r="P214" s="187" t="s">
        <v>362</v>
      </c>
    </row>
    <row r="215" spans="2:16">
      <c r="B215" s="115">
        <f t="shared" ref="B215:B222" si="16">+B214+1</f>
        <v>124</v>
      </c>
      <c r="C215" s="114"/>
      <c r="D215" s="131" t="s">
        <v>361</v>
      </c>
      <c r="E215" s="104" t="s">
        <v>368</v>
      </c>
      <c r="F215" s="131"/>
      <c r="G215" s="131"/>
      <c r="H215" s="131"/>
      <c r="I215" s="131"/>
      <c r="J215" s="131"/>
      <c r="K215" s="131"/>
      <c r="L215" s="203">
        <f>+'[6]OKT WS N Avg Cap Structure'!E32</f>
        <v>12649050</v>
      </c>
      <c r="M215" s="108"/>
      <c r="N215" s="202">
        <v>12649050</v>
      </c>
      <c r="O215" s="151"/>
      <c r="P215" s="202">
        <f>IF(N215="","",N215-L215)</f>
        <v>0</v>
      </c>
    </row>
    <row r="216" spans="2:16">
      <c r="B216" s="115">
        <f t="shared" si="16"/>
        <v>125</v>
      </c>
      <c r="C216" s="114"/>
      <c r="D216" s="131" t="s">
        <v>359</v>
      </c>
      <c r="E216" s="104" t="s">
        <v>367</v>
      </c>
      <c r="F216" s="131"/>
      <c r="G216" s="131"/>
      <c r="H216" s="131"/>
      <c r="I216" s="131"/>
      <c r="J216" s="131"/>
      <c r="K216" s="131"/>
      <c r="L216" s="203">
        <f>+'[6]OKT WS N Avg Cap Structure'!E74</f>
        <v>0</v>
      </c>
      <c r="M216" s="108"/>
      <c r="N216" s="202">
        <v>0</v>
      </c>
      <c r="O216" s="151"/>
      <c r="P216" s="202">
        <f>IF(N216="","",N216-L216)</f>
        <v>0</v>
      </c>
    </row>
    <row r="217" spans="2:16" ht="15.75" thickBot="1">
      <c r="B217" s="115">
        <f t="shared" si="16"/>
        <v>126</v>
      </c>
      <c r="C217" s="114"/>
      <c r="D217" s="185" t="s">
        <v>357</v>
      </c>
      <c r="E217" s="131"/>
      <c r="F217" s="131"/>
      <c r="G217" s="131"/>
      <c r="H217" s="108"/>
      <c r="I217" s="108"/>
      <c r="J217" s="108"/>
      <c r="K217" s="131"/>
      <c r="L217" s="184" t="s">
        <v>356</v>
      </c>
      <c r="M217" s="108"/>
      <c r="N217" s="183" t="s">
        <v>356</v>
      </c>
      <c r="O217" s="151"/>
      <c r="P217" s="183" t="s">
        <v>356</v>
      </c>
    </row>
    <row r="218" spans="2:16">
      <c r="B218" s="115">
        <f t="shared" si="16"/>
        <v>127</v>
      </c>
      <c r="C218" s="114"/>
      <c r="D218" s="131" t="s">
        <v>355</v>
      </c>
      <c r="E218" s="104" t="str">
        <f>"(Worksheet N, ln. "&amp;'[6]OKT WS N Avg Cap Structure'!A11&amp;", col. "&amp;'[6]OKT WS N Avg Cap Structure'!E6&amp;")"</f>
        <v>(Worksheet N, ln. 1, col. (E))</v>
      </c>
      <c r="F218" s="131"/>
      <c r="G218" s="125"/>
      <c r="H218" s="108"/>
      <c r="I218" s="108"/>
      <c r="J218" s="108"/>
      <c r="K218" s="131"/>
      <c r="L218" s="201">
        <f>+'[6]OKT WS N Avg Cap Structure'!E11</f>
        <v>328369681</v>
      </c>
      <c r="M218" s="108"/>
      <c r="N218" s="428">
        <v>328369681</v>
      </c>
      <c r="O218" s="151"/>
      <c r="P218" s="428">
        <f t="shared" ref="P218:P223" si="17">IF(N218="","",N218-L218)</f>
        <v>0</v>
      </c>
    </row>
    <row r="219" spans="2:16">
      <c r="B219" s="115">
        <f t="shared" si="16"/>
        <v>128</v>
      </c>
      <c r="C219" s="114"/>
      <c r="D219" s="131" t="str">
        <f>"Less Preferred Stock (ln "&amp;B226&amp;")"</f>
        <v>Less Preferred Stock (ln 134)</v>
      </c>
      <c r="E219" s="104" t="str">
        <f>"(Worksheet N, ln. "&amp;'[6]OKT WS N Avg Cap Structure'!A12&amp;", col. "&amp;'[6]OKT WS N Avg Cap Structure'!E6&amp;")"</f>
        <v>(Worksheet N, ln. 2, col. (E))</v>
      </c>
      <c r="F219" s="131"/>
      <c r="G219" s="131"/>
      <c r="H219" s="108"/>
      <c r="I219" s="108"/>
      <c r="J219" s="108"/>
      <c r="K219" s="131"/>
      <c r="L219" s="201">
        <f>+'[6]OKT WS N Avg Cap Structure'!E12</f>
        <v>0</v>
      </c>
      <c r="M219" s="108"/>
      <c r="N219" s="428">
        <v>0</v>
      </c>
      <c r="O219" s="151"/>
      <c r="P219" s="428">
        <f t="shared" si="17"/>
        <v>0</v>
      </c>
    </row>
    <row r="220" spans="2:16">
      <c r="B220" s="115">
        <f t="shared" si="16"/>
        <v>129</v>
      </c>
      <c r="C220" s="114"/>
      <c r="D220" s="131" t="s">
        <v>352</v>
      </c>
      <c r="E220" s="104" t="str">
        <f>"(Worksheet N, ln. "&amp;'[6]OKT WS N Avg Cap Structure'!A13&amp;", col. "&amp;'[6]OKT WS N Avg Cap Structure'!E6&amp;")"</f>
        <v>(Worksheet N, ln. 3, col. (E))</v>
      </c>
      <c r="F220" s="131"/>
      <c r="G220" s="131"/>
      <c r="H220" s="108"/>
      <c r="I220" s="108"/>
      <c r="J220" s="108"/>
      <c r="K220" s="131"/>
      <c r="L220" s="201">
        <f>+'[6]OKT WS N Avg Cap Structure'!E13</f>
        <v>0</v>
      </c>
      <c r="M220" s="108"/>
      <c r="N220" s="428">
        <v>0</v>
      </c>
      <c r="O220" s="151"/>
      <c r="P220" s="428">
        <f t="shared" si="17"/>
        <v>0</v>
      </c>
    </row>
    <row r="221" spans="2:16" ht="15.75" thickBot="1">
      <c r="B221" s="115">
        <f t="shared" si="16"/>
        <v>130</v>
      </c>
      <c r="C221" s="114"/>
      <c r="D221" s="131" t="s">
        <v>350</v>
      </c>
      <c r="E221" s="104" t="str">
        <f>"(Worksheet N, ln. "&amp;'[6]OKT WS N Avg Cap Structure'!A14&amp;", col. "&amp;'[6]OKT WS N Avg Cap Structure'!E6&amp;")"</f>
        <v>(Worksheet N, ln. 4, col. (E))</v>
      </c>
      <c r="F221" s="131"/>
      <c r="G221" s="131"/>
      <c r="H221" s="108"/>
      <c r="I221" s="108"/>
      <c r="J221" s="108"/>
      <c r="K221" s="131"/>
      <c r="L221" s="199">
        <f>+'[6]OKT WS N Avg Cap Structure'!E14</f>
        <v>0</v>
      </c>
      <c r="M221" s="108"/>
      <c r="N221" s="427">
        <v>0</v>
      </c>
      <c r="O221" s="151"/>
      <c r="P221" s="427">
        <f t="shared" si="17"/>
        <v>0</v>
      </c>
    </row>
    <row r="222" spans="2:16">
      <c r="B222" s="115">
        <f t="shared" si="16"/>
        <v>131</v>
      </c>
      <c r="C222" s="114"/>
      <c r="D222" s="104" t="s">
        <v>348</v>
      </c>
      <c r="E222" s="131" t="str">
        <f>"(ln "&amp;B218&amp;" - ln "&amp;B219&amp;" - ln "&amp;B220&amp;" - ln "&amp;B221&amp;")"</f>
        <v>(ln 127 - ln 128 - ln 129 - ln 130)</v>
      </c>
      <c r="F222" s="178"/>
      <c r="G222" s="105"/>
      <c r="H222" s="125"/>
      <c r="I222" s="125"/>
      <c r="J222" s="125"/>
      <c r="K222" s="125"/>
      <c r="L222" s="177">
        <f>+L218-L219-L220-L221</f>
        <v>328369681</v>
      </c>
      <c r="M222" s="108"/>
      <c r="N222" s="422">
        <v>328369681</v>
      </c>
      <c r="O222" s="151"/>
      <c r="P222" s="422">
        <f t="shared" si="17"/>
        <v>0</v>
      </c>
    </row>
    <row r="223" spans="2:16" ht="15.75">
      <c r="B223" s="115"/>
      <c r="C223" s="114"/>
      <c r="D223" s="155"/>
      <c r="E223" s="131"/>
      <c r="F223" s="131"/>
      <c r="G223" s="475" t="s">
        <v>347</v>
      </c>
      <c r="H223" s="475"/>
      <c r="I223" s="131"/>
      <c r="J223" s="175" t="s">
        <v>346</v>
      </c>
      <c r="K223" s="131"/>
      <c r="L223" s="131"/>
      <c r="M223" s="108"/>
      <c r="N223" s="174"/>
      <c r="O223" s="151"/>
      <c r="P223" s="174" t="str">
        <f t="shared" si="17"/>
        <v/>
      </c>
    </row>
    <row r="224" spans="2:16" ht="15.75" thickBot="1">
      <c r="B224" s="115">
        <f>+B222+1</f>
        <v>132</v>
      </c>
      <c r="C224" s="114"/>
      <c r="D224" s="155"/>
      <c r="E224" s="172" t="str">
        <f>""&amp;'[6]OKT Historic TCOS'!O1&amp;" Avg Balances"</f>
        <v>2017 Avg Balances</v>
      </c>
      <c r="G224" s="172" t="s">
        <v>345</v>
      </c>
      <c r="H224" s="173" t="s">
        <v>344</v>
      </c>
      <c r="I224" s="131"/>
      <c r="J224" s="172" t="s">
        <v>343</v>
      </c>
      <c r="K224" s="131"/>
      <c r="L224" s="172" t="s">
        <v>342</v>
      </c>
      <c r="M224" s="108"/>
      <c r="N224" s="171" t="s">
        <v>342</v>
      </c>
      <c r="O224" s="151"/>
      <c r="P224" s="171" t="s">
        <v>342</v>
      </c>
    </row>
    <row r="225" spans="1:16">
      <c r="B225" s="115">
        <f>+B224+1</f>
        <v>133</v>
      </c>
      <c r="C225" s="114"/>
      <c r="D225" s="131" t="str">
        <f>"Avg Long Term Debt (Worksheet N, ln. "&amp;'[6]OKT WS N Avg Cap Structure'!A23&amp;", col. "&amp;'[6]OKT WS N Avg Cap Structure'!E6&amp;")"</f>
        <v>Avg Long Term Debt (Worksheet N, ln. 10, col. (E))</v>
      </c>
      <c r="E225" s="154">
        <f>+'[6]OKT WS N Avg Cap Structure'!E23</f>
        <v>323100000</v>
      </c>
      <c r="G225" s="162">
        <f>IF($E$228&gt;0,E225/$E$228,0)</f>
        <v>0.49595554393881303</v>
      </c>
      <c r="H225" s="161">
        <f>IF(G227&gt;E230,1-H226-H227,0)</f>
        <v>0.5</v>
      </c>
      <c r="I225" s="160"/>
      <c r="J225" s="166">
        <f>IF(E225&gt;0,L215/E225,0)</f>
        <v>3.9149025069637883E-2</v>
      </c>
      <c r="K225" s="120"/>
      <c r="L225" s="170">
        <f>IF(G$227&gt;E$230,J225*H225,J225*G225)</f>
        <v>1.9574512534818941E-2</v>
      </c>
      <c r="M225" s="108"/>
      <c r="N225" s="169">
        <v>1.9574512534818941E-2</v>
      </c>
      <c r="O225" s="151"/>
      <c r="P225" s="169">
        <f t="shared" ref="P225:P232" si="18">IF(N225="","",N225-L225)</f>
        <v>0</v>
      </c>
    </row>
    <row r="226" spans="1:16">
      <c r="B226" s="115">
        <f>+B225+1</f>
        <v>134</v>
      </c>
      <c r="C226" s="114"/>
      <c r="D226" s="131" t="str">
        <f>"Avg Preferred Stock (Worksheet N, ln. "&amp;'[6]OKT WS N Avg Cap Structure'!A73&amp;", col. "&amp;'[6]OKT WS M Cost of Debt for Proj.'!F6&amp;")"</f>
        <v>Avg Preferred Stock (Worksheet N, ln. 46, col. (E))</v>
      </c>
      <c r="E226" s="154">
        <f>+'[6]OKT WS N Avg Cap Structure'!E70</f>
        <v>0</v>
      </c>
      <c r="G226" s="162">
        <f>IF($E$228&gt;0,E226/$E$228,0)</f>
        <v>0</v>
      </c>
      <c r="H226" s="161">
        <f>IF(G227&gt;E230,G226,0)</f>
        <v>0</v>
      </c>
      <c r="I226" s="160"/>
      <c r="J226" s="166">
        <f>IF(E226&gt;0,L216/E226,0)</f>
        <v>0</v>
      </c>
      <c r="K226" s="120"/>
      <c r="L226" s="165">
        <f>IF(G$227&gt;E$230,J226*H226,J226*G226)</f>
        <v>0</v>
      </c>
      <c r="M226" s="108"/>
      <c r="N226" s="164">
        <v>0</v>
      </c>
      <c r="O226" s="151"/>
      <c r="P226" s="164">
        <f t="shared" si="18"/>
        <v>0</v>
      </c>
    </row>
    <row r="227" spans="1:16" ht="15.75" thickBot="1">
      <c r="B227" s="115">
        <f>+B226+1</f>
        <v>135</v>
      </c>
      <c r="C227" s="114"/>
      <c r="D227" s="155" t="str">
        <f>"Avg Common Stock  (ln "&amp;B222&amp;") (Note U)"</f>
        <v>Avg Common Stock  (ln 131) (Note U)</v>
      </c>
      <c r="E227" s="163">
        <f>+L222</f>
        <v>328369681</v>
      </c>
      <c r="G227" s="162">
        <f>IF($E$228&gt;0,E227/$E$228,0)</f>
        <v>0.50404445606118697</v>
      </c>
      <c r="H227" s="161">
        <f>IF(G227&gt;E230,E230,0)</f>
        <v>0.5</v>
      </c>
      <c r="I227" s="160"/>
      <c r="J227" s="166">
        <v>0.105</v>
      </c>
      <c r="K227" s="120"/>
      <c r="L227" s="158">
        <f>IF(G$227&gt;E$230,J227*H227,J227*G227)</f>
        <v>5.2499999999999998E-2</v>
      </c>
      <c r="M227" s="108"/>
      <c r="N227" s="156">
        <v>5.2499999999999998E-2</v>
      </c>
      <c r="O227" s="151"/>
      <c r="P227" s="156">
        <f t="shared" si="18"/>
        <v>0</v>
      </c>
    </row>
    <row r="228" spans="1:16" ht="15.75">
      <c r="B228" s="115">
        <f>+B227+1</f>
        <v>136</v>
      </c>
      <c r="C228" s="114"/>
      <c r="D228" s="155" t="str">
        <f>"  Total  (sum lns "&amp;B225&amp;" to "&amp;B227&amp;")"</f>
        <v xml:space="preserve">  Total  (sum lns 133 to 135)</v>
      </c>
      <c r="E228" s="154">
        <f>E227+E226+E225</f>
        <v>651469681</v>
      </c>
      <c r="G228" s="131" t="s">
        <v>288</v>
      </c>
      <c r="I228" s="131"/>
      <c r="J228" s="143"/>
      <c r="K228" s="153" t="s">
        <v>339</v>
      </c>
      <c r="L228" s="152">
        <f>SUM(L225:L227)</f>
        <v>7.2074512534818946E-2</v>
      </c>
      <c r="M228" s="108"/>
      <c r="N228" s="150">
        <v>7.2074512534818946E-2</v>
      </c>
      <c r="O228" s="151"/>
      <c r="P228" s="150">
        <f t="shared" si="18"/>
        <v>0</v>
      </c>
    </row>
    <row r="229" spans="1:16">
      <c r="B229" s="149"/>
      <c r="C229" s="108"/>
      <c r="D229" s="108"/>
      <c r="E229" s="143"/>
      <c r="F229" s="143"/>
      <c r="G229" s="143"/>
      <c r="H229" s="143"/>
      <c r="I229" s="143"/>
      <c r="J229" s="129"/>
      <c r="K229" s="129"/>
      <c r="L229" s="129"/>
      <c r="M229" s="108"/>
      <c r="N229" s="197"/>
      <c r="O229" s="151"/>
      <c r="P229" s="197" t="str">
        <f t="shared" si="18"/>
        <v/>
      </c>
    </row>
    <row r="230" spans="1:16">
      <c r="B230" s="134">
        <f>+B228+1</f>
        <v>137</v>
      </c>
      <c r="C230" s="108"/>
      <c r="D230" s="130" t="s">
        <v>366</v>
      </c>
      <c r="E230" s="419">
        <f>+'[6]OKT Historic TCOS'!E243</f>
        <v>0.5</v>
      </c>
      <c r="F230" s="143"/>
      <c r="G230" s="146"/>
      <c r="H230" s="143"/>
      <c r="I230" s="143"/>
      <c r="J230" s="131"/>
      <c r="K230" s="125"/>
      <c r="L230" s="131"/>
      <c r="M230" s="108"/>
      <c r="N230" s="174"/>
      <c r="O230" s="151"/>
      <c r="P230" s="174" t="str">
        <f t="shared" si="18"/>
        <v/>
      </c>
    </row>
    <row r="231" spans="1:16" s="105" customFormat="1" ht="15.75">
      <c r="B231" s="115"/>
      <c r="C231" s="114"/>
      <c r="D231" s="155"/>
      <c r="E231" s="194"/>
      <c r="F231" s="131"/>
      <c r="G231" s="120"/>
      <c r="H231" s="131"/>
      <c r="I231" s="131"/>
      <c r="J231" s="131"/>
      <c r="K231" s="196"/>
      <c r="L231" s="190"/>
      <c r="M231" s="143"/>
      <c r="N231" s="189"/>
      <c r="O231" s="151"/>
      <c r="P231" s="189" t="str">
        <f t="shared" si="18"/>
        <v/>
      </c>
    </row>
    <row r="232" spans="1:16" ht="15.75">
      <c r="A232" s="105"/>
      <c r="B232" s="134"/>
      <c r="C232" s="133"/>
      <c r="D232" s="195" t="s">
        <v>365</v>
      </c>
      <c r="E232" s="194"/>
      <c r="F232" s="193" t="s">
        <v>364</v>
      </c>
      <c r="G232" s="192"/>
      <c r="H232" s="139"/>
      <c r="I232" s="139"/>
      <c r="J232" s="139"/>
      <c r="K232" s="191"/>
      <c r="L232" s="190"/>
      <c r="M232" s="143"/>
      <c r="N232" s="189"/>
      <c r="O232" s="151"/>
      <c r="P232" s="189" t="str">
        <f t="shared" si="18"/>
        <v/>
      </c>
    </row>
    <row r="233" spans="1:16" ht="15.75" thickBot="1">
      <c r="A233" s="105"/>
      <c r="B233" s="115">
        <f>+B230+1</f>
        <v>138</v>
      </c>
      <c r="C233" s="114"/>
      <c r="D233" s="155" t="s">
        <v>363</v>
      </c>
      <c r="E233" s="131"/>
      <c r="F233" s="131"/>
      <c r="G233" s="131"/>
      <c r="H233" s="131"/>
      <c r="I233" s="131"/>
      <c r="J233" s="131"/>
      <c r="K233" s="131"/>
      <c r="L233" s="188" t="s">
        <v>362</v>
      </c>
      <c r="M233" s="143"/>
      <c r="N233" s="187" t="s">
        <v>362</v>
      </c>
      <c r="O233" s="151"/>
      <c r="P233" s="187" t="s">
        <v>362</v>
      </c>
    </row>
    <row r="234" spans="1:16">
      <c r="A234" s="105"/>
      <c r="B234" s="115">
        <f t="shared" ref="B234:B241" si="19">+B233+1</f>
        <v>139</v>
      </c>
      <c r="C234" s="114"/>
      <c r="D234" s="131" t="s">
        <v>361</v>
      </c>
      <c r="E234" s="104" t="s">
        <v>360</v>
      </c>
      <c r="F234" s="131"/>
      <c r="G234" s="131"/>
      <c r="H234" s="131"/>
      <c r="I234" s="131"/>
      <c r="J234" s="131"/>
      <c r="K234" s="131"/>
      <c r="L234" s="421">
        <v>59306414.780000001</v>
      </c>
      <c r="M234" s="143"/>
      <c r="N234" s="186">
        <v>59306414.780000001</v>
      </c>
      <c r="O234" s="151"/>
      <c r="P234" s="186">
        <f>IF(N234="","",N234-L234)</f>
        <v>0</v>
      </c>
    </row>
    <row r="235" spans="1:16">
      <c r="A235" s="105"/>
      <c r="B235" s="115">
        <f t="shared" si="19"/>
        <v>140</v>
      </c>
      <c r="C235" s="114"/>
      <c r="D235" s="131" t="s">
        <v>359</v>
      </c>
      <c r="E235" s="104" t="s">
        <v>358</v>
      </c>
      <c r="F235" s="131"/>
      <c r="G235" s="131"/>
      <c r="H235" s="131"/>
      <c r="I235" s="131"/>
      <c r="J235" s="131"/>
      <c r="K235" s="131"/>
      <c r="L235" s="421">
        <v>0</v>
      </c>
      <c r="M235" s="143"/>
      <c r="N235" s="186">
        <v>0</v>
      </c>
      <c r="O235" s="151"/>
      <c r="P235" s="186">
        <f>IF(N235="","",N235-L235)</f>
        <v>0</v>
      </c>
    </row>
    <row r="236" spans="1:16" ht="15.75" thickBot="1">
      <c r="A236" s="105"/>
      <c r="B236" s="115">
        <f t="shared" si="19"/>
        <v>141</v>
      </c>
      <c r="C236" s="114"/>
      <c r="D236" s="185" t="s">
        <v>357</v>
      </c>
      <c r="E236" s="131"/>
      <c r="F236" s="131"/>
      <c r="G236" s="131"/>
      <c r="H236" s="108"/>
      <c r="I236" s="108"/>
      <c r="J236" s="108"/>
      <c r="K236" s="131"/>
      <c r="L236" s="184" t="s">
        <v>356</v>
      </c>
      <c r="M236" s="143"/>
      <c r="N236" s="183" t="s">
        <v>356</v>
      </c>
      <c r="O236" s="151"/>
      <c r="P236" s="183" t="s">
        <v>356</v>
      </c>
    </row>
    <row r="237" spans="1:16">
      <c r="A237" s="105"/>
      <c r="B237" s="115">
        <f t="shared" si="19"/>
        <v>142</v>
      </c>
      <c r="C237" s="114"/>
      <c r="D237" s="131" t="s">
        <v>355</v>
      </c>
      <c r="E237" s="104" t="s">
        <v>354</v>
      </c>
      <c r="F237" s="131"/>
      <c r="G237" s="125"/>
      <c r="H237" s="108"/>
      <c r="I237" s="108"/>
      <c r="J237" s="108"/>
      <c r="K237" s="131"/>
      <c r="L237" s="426">
        <v>1214774946.7555003</v>
      </c>
      <c r="M237" s="143"/>
      <c r="N237" s="425">
        <v>1214774946.7555003</v>
      </c>
      <c r="O237" s="151"/>
      <c r="P237" s="425">
        <f t="shared" ref="P237:P242" si="20">IF(N237="","",N237-L237)</f>
        <v>0</v>
      </c>
    </row>
    <row r="238" spans="1:16">
      <c r="A238" s="105"/>
      <c r="B238" s="115">
        <f t="shared" si="19"/>
        <v>143</v>
      </c>
      <c r="C238" s="114"/>
      <c r="D238" s="131" t="str">
        <f>"Less Preferred Stock (ln "&amp;B245&amp;")"</f>
        <v>Less Preferred Stock (ln 149)</v>
      </c>
      <c r="E238" s="104" t="s">
        <v>353</v>
      </c>
      <c r="F238" s="131"/>
      <c r="G238" s="131"/>
      <c r="H238" s="108"/>
      <c r="I238" s="108"/>
      <c r="J238" s="108"/>
      <c r="K238" s="131"/>
      <c r="L238" s="426">
        <v>0</v>
      </c>
      <c r="M238" s="143"/>
      <c r="N238" s="425">
        <v>0</v>
      </c>
      <c r="O238" s="151"/>
      <c r="P238" s="425">
        <f t="shared" si="20"/>
        <v>0</v>
      </c>
    </row>
    <row r="239" spans="1:16">
      <c r="A239" s="105"/>
      <c r="B239" s="115">
        <f t="shared" si="19"/>
        <v>144</v>
      </c>
      <c r="C239" s="114"/>
      <c r="D239" s="131" t="s">
        <v>352</v>
      </c>
      <c r="E239" s="104" t="s">
        <v>351</v>
      </c>
      <c r="F239" s="131"/>
      <c r="G239" s="131"/>
      <c r="H239" s="108"/>
      <c r="I239" s="108"/>
      <c r="J239" s="108"/>
      <c r="K239" s="131"/>
      <c r="L239" s="426">
        <v>0</v>
      </c>
      <c r="M239" s="143"/>
      <c r="N239" s="425">
        <v>0</v>
      </c>
      <c r="O239" s="151"/>
      <c r="P239" s="425">
        <f t="shared" si="20"/>
        <v>0</v>
      </c>
    </row>
    <row r="240" spans="1:16" ht="15.75" thickBot="1">
      <c r="A240" s="105"/>
      <c r="B240" s="115">
        <f t="shared" si="19"/>
        <v>145</v>
      </c>
      <c r="C240" s="114"/>
      <c r="D240" s="131" t="s">
        <v>350</v>
      </c>
      <c r="E240" s="104" t="s">
        <v>349</v>
      </c>
      <c r="F240" s="131"/>
      <c r="G240" s="131"/>
      <c r="H240" s="108"/>
      <c r="I240" s="108"/>
      <c r="J240" s="108"/>
      <c r="K240" s="131"/>
      <c r="L240" s="424">
        <v>2979333.83</v>
      </c>
      <c r="M240" s="143"/>
      <c r="N240" s="423">
        <v>2979333.83</v>
      </c>
      <c r="O240" s="151"/>
      <c r="P240" s="423">
        <f t="shared" si="20"/>
        <v>0</v>
      </c>
    </row>
    <row r="241" spans="1:21">
      <c r="A241" s="105"/>
      <c r="B241" s="115">
        <f t="shared" si="19"/>
        <v>146</v>
      </c>
      <c r="C241" s="114"/>
      <c r="D241" s="104" t="s">
        <v>348</v>
      </c>
      <c r="E241" s="131" t="str">
        <f>"(ln "&amp;B237&amp;" - ln "&amp;B238&amp;" - ln "&amp;B239&amp;" - ln "&amp;B240&amp;")"</f>
        <v>(ln 142 - ln 143 - ln 144 - ln 145)</v>
      </c>
      <c r="F241" s="178"/>
      <c r="G241" s="105"/>
      <c r="H241" s="125"/>
      <c r="I241" s="125"/>
      <c r="J241" s="125"/>
      <c r="K241" s="125"/>
      <c r="L241" s="177">
        <f>+L237-L238-L239-L240</f>
        <v>1211795612.9255004</v>
      </c>
      <c r="M241" s="143"/>
      <c r="N241" s="422">
        <v>1211795612.9255004</v>
      </c>
      <c r="O241" s="151"/>
      <c r="P241" s="422">
        <f t="shared" si="20"/>
        <v>0</v>
      </c>
    </row>
    <row r="242" spans="1:21" ht="15.75">
      <c r="A242" s="105"/>
      <c r="B242" s="115"/>
      <c r="C242" s="114"/>
      <c r="D242" s="155"/>
      <c r="E242" s="131"/>
      <c r="F242" s="131"/>
      <c r="G242" s="475" t="s">
        <v>347</v>
      </c>
      <c r="H242" s="475"/>
      <c r="I242" s="131"/>
      <c r="J242" s="175" t="s">
        <v>346</v>
      </c>
      <c r="K242" s="131"/>
      <c r="L242" s="131"/>
      <c r="M242" s="143"/>
      <c r="N242" s="174"/>
      <c r="O242" s="151"/>
      <c r="P242" s="174" t="str">
        <f t="shared" si="20"/>
        <v/>
      </c>
    </row>
    <row r="243" spans="1:21" ht="15.75" thickBot="1">
      <c r="A243" s="105"/>
      <c r="B243" s="115">
        <f>+B241+1</f>
        <v>147</v>
      </c>
      <c r="C243" s="114"/>
      <c r="D243" s="155"/>
      <c r="E243" s="172" t="str">
        <f>""&amp;'[6]OKT Historic TCOS'!O1&amp;" Avg Balances"</f>
        <v>2017 Avg Balances</v>
      </c>
      <c r="G243" s="172" t="s">
        <v>345</v>
      </c>
      <c r="H243" s="173" t="s">
        <v>344</v>
      </c>
      <c r="I243" s="131"/>
      <c r="J243" s="172" t="s">
        <v>343</v>
      </c>
      <c r="K243" s="131"/>
      <c r="L243" s="172" t="s">
        <v>342</v>
      </c>
      <c r="M243" s="143"/>
      <c r="N243" s="171" t="s">
        <v>342</v>
      </c>
      <c r="O243" s="157"/>
      <c r="P243" s="171" t="s">
        <v>342</v>
      </c>
      <c r="Q243" s="168"/>
      <c r="R243" s="168"/>
      <c r="S243" s="168"/>
      <c r="T243" s="168"/>
      <c r="U243" s="168"/>
    </row>
    <row r="244" spans="1:21">
      <c r="A244" s="105"/>
      <c r="B244" s="115">
        <f>+B243+1</f>
        <v>148</v>
      </c>
      <c r="C244" s="114"/>
      <c r="D244" s="131" t="s">
        <v>341</v>
      </c>
      <c r="E244" s="421">
        <v>1292895585.4299998</v>
      </c>
      <c r="G244" s="162">
        <f>IF($E$247&gt;0,E244/$E$247,0)</f>
        <v>0.51618961502275151</v>
      </c>
      <c r="H244" s="161">
        <f>IF(G246&gt;E249,1-H245-H246,0)</f>
        <v>0</v>
      </c>
      <c r="I244" s="160"/>
      <c r="J244" s="166">
        <f>IF(E244&gt;0,L234/E244,0)</f>
        <v>4.5871001067944304E-2</v>
      </c>
      <c r="K244" s="120"/>
      <c r="L244" s="170">
        <f>IF(G$246&gt;E$249,J244*H244,J244*G244)</f>
        <v>2.3678134381970393E-2</v>
      </c>
      <c r="M244" s="143"/>
      <c r="N244" s="169">
        <v>2.3678134381970393E-2</v>
      </c>
      <c r="O244" s="157"/>
      <c r="P244" s="169">
        <f>IF(N244="","",N244-L244)</f>
        <v>0</v>
      </c>
      <c r="Q244" s="168"/>
      <c r="R244" s="168"/>
      <c r="S244" s="168"/>
      <c r="T244" s="168"/>
      <c r="U244" s="168"/>
    </row>
    <row r="245" spans="1:21">
      <c r="A245" s="105"/>
      <c r="B245" s="115">
        <f>+B244+1</f>
        <v>149</v>
      </c>
      <c r="C245" s="114"/>
      <c r="D245" s="131" t="s">
        <v>340</v>
      </c>
      <c r="E245" s="421">
        <v>0</v>
      </c>
      <c r="G245" s="162">
        <f>IF($E$247&gt;0,E245/$E$247,0)</f>
        <v>0</v>
      </c>
      <c r="H245" s="161">
        <f>IF(G246&gt;E249,G245,0)</f>
        <v>0</v>
      </c>
      <c r="I245" s="160"/>
      <c r="J245" s="166">
        <f>IF(E245&gt;0,L235/E245,0)</f>
        <v>0</v>
      </c>
      <c r="K245" s="120"/>
      <c r="L245" s="165">
        <f>IF(G$246&gt;E$249,J245*H245,J245*G245)</f>
        <v>0</v>
      </c>
      <c r="M245" s="143"/>
      <c r="N245" s="164">
        <v>0</v>
      </c>
      <c r="O245" s="157"/>
      <c r="P245" s="164">
        <f>IF(N245="","",N245-L245)</f>
        <v>0</v>
      </c>
    </row>
    <row r="246" spans="1:21" ht="15.75" thickBot="1">
      <c r="A246" s="105"/>
      <c r="B246" s="115">
        <f>+B245+1</f>
        <v>150</v>
      </c>
      <c r="C246" s="114"/>
      <c r="D246" s="155" t="str">
        <f>"Avg Common Stock  (ln "&amp;B241&amp;") (Note U)"</f>
        <v>Avg Common Stock  (ln 146) (Note U)</v>
      </c>
      <c r="E246" s="163">
        <f>+L241</f>
        <v>1211795612.9255004</v>
      </c>
      <c r="G246" s="162">
        <f>IF($E$247&gt;0,E246/$E$247,0)</f>
        <v>0.48381038497724849</v>
      </c>
      <c r="H246" s="161">
        <f>IF(G246&gt;E249,E249,0)</f>
        <v>0</v>
      </c>
      <c r="I246" s="160"/>
      <c r="J246" s="420">
        <v>0.112</v>
      </c>
      <c r="K246" s="120"/>
      <c r="L246" s="158">
        <f>IF(G$246&gt;E$249,J246*H246,J246*G246)</f>
        <v>5.4186763117451832E-2</v>
      </c>
      <c r="M246" s="143"/>
      <c r="N246" s="156">
        <v>5.0800090422611091E-2</v>
      </c>
      <c r="O246" s="157"/>
      <c r="P246" s="156">
        <f>IF(N246="","",N246-L246)</f>
        <v>-3.3866726948407408E-3</v>
      </c>
    </row>
    <row r="247" spans="1:21" ht="15.75">
      <c r="A247" s="105"/>
      <c r="B247" s="115">
        <f>+B246+1</f>
        <v>151</v>
      </c>
      <c r="C247" s="114"/>
      <c r="D247" s="155" t="str">
        <f>"  Total  (sum lns "&amp;B244&amp;" to "&amp;B246&amp;")"</f>
        <v xml:space="preserve">  Total  (sum lns 148 to 150)</v>
      </c>
      <c r="E247" s="154">
        <f>E246+E245+E244</f>
        <v>2504691198.3555002</v>
      </c>
      <c r="G247" s="131" t="s">
        <v>288</v>
      </c>
      <c r="I247" s="131"/>
      <c r="J247" s="143"/>
      <c r="K247" s="153" t="s">
        <v>339</v>
      </c>
      <c r="L247" s="152">
        <f>SUM(L244:L246)</f>
        <v>7.7864897499422228E-2</v>
      </c>
      <c r="M247" s="143"/>
      <c r="N247" s="150">
        <v>7.447822480458148E-2</v>
      </c>
      <c r="O247" s="151"/>
      <c r="P247" s="150">
        <f>IF(N247="","",N247-L247)</f>
        <v>-3.3866726948407477E-3</v>
      </c>
    </row>
    <row r="248" spans="1:21">
      <c r="A248" s="105"/>
      <c r="B248" s="149"/>
      <c r="C248" s="108"/>
      <c r="D248" s="108"/>
      <c r="E248" s="143"/>
      <c r="F248" s="143"/>
      <c r="G248" s="143"/>
      <c r="H248" s="143"/>
      <c r="I248" s="143"/>
      <c r="J248" s="129"/>
      <c r="K248" s="129"/>
      <c r="L248" s="129"/>
      <c r="M248" s="143"/>
      <c r="N248" s="108"/>
      <c r="O248" s="111"/>
      <c r="P248" s="111"/>
      <c r="Q248" s="111"/>
      <c r="R248" s="111"/>
      <c r="S248" s="111"/>
      <c r="T248" s="111"/>
      <c r="U248" s="111"/>
    </row>
    <row r="249" spans="1:21">
      <c r="A249" s="105"/>
      <c r="B249" s="134">
        <f>+B247+1</f>
        <v>152</v>
      </c>
      <c r="C249" s="108"/>
      <c r="D249" s="148" t="s">
        <v>338</v>
      </c>
      <c r="E249" s="419">
        <f>+'[6]OKT Historic TCOS'!E262</f>
        <v>0.52500000000000002</v>
      </c>
      <c r="F249" s="143"/>
      <c r="G249" s="146"/>
      <c r="H249" s="143"/>
      <c r="I249" s="143"/>
      <c r="J249" s="131"/>
      <c r="K249" s="125"/>
      <c r="L249" s="131"/>
      <c r="M249" s="143"/>
      <c r="N249" s="108"/>
      <c r="O249" s="111"/>
      <c r="P249" s="111"/>
      <c r="Q249" s="111"/>
      <c r="R249" s="111"/>
      <c r="S249" s="111"/>
      <c r="T249" s="111"/>
      <c r="U249" s="111"/>
    </row>
    <row r="250" spans="1:21" s="105" customFormat="1">
      <c r="B250" s="115"/>
      <c r="C250" s="143"/>
      <c r="D250" s="143"/>
      <c r="E250" s="143"/>
      <c r="F250" s="143"/>
      <c r="G250" s="143"/>
      <c r="H250" s="143"/>
      <c r="I250" s="143"/>
      <c r="J250" s="131"/>
      <c r="K250" s="125"/>
      <c r="L250" s="131"/>
      <c r="M250" s="143"/>
      <c r="N250" s="143"/>
      <c r="O250" s="111"/>
      <c r="P250" s="111"/>
      <c r="Q250" s="111"/>
      <c r="R250" s="111"/>
      <c r="S250" s="111"/>
      <c r="T250" s="111"/>
      <c r="U250" s="111"/>
    </row>
    <row r="251" spans="1:21" ht="15.75">
      <c r="B251" s="134"/>
      <c r="C251" s="133"/>
      <c r="D251" s="145"/>
      <c r="E251" s="145"/>
      <c r="F251" s="140" t="str">
        <f>F186</f>
        <v xml:space="preserve">AEP West SPP Member Companies </v>
      </c>
      <c r="G251" s="144"/>
      <c r="H251" s="139"/>
      <c r="I251" s="139"/>
      <c r="J251" s="139"/>
      <c r="K251" s="138"/>
      <c r="L251" s="139"/>
      <c r="M251" s="143"/>
      <c r="N251" s="108"/>
      <c r="O251" s="111"/>
      <c r="P251" s="111"/>
      <c r="Q251" s="111"/>
      <c r="R251" s="111"/>
      <c r="S251" s="111"/>
      <c r="T251" s="111"/>
      <c r="U251" s="111"/>
    </row>
    <row r="252" spans="1:21">
      <c r="B252" s="134"/>
      <c r="C252" s="133"/>
      <c r="D252" s="142"/>
      <c r="E252" s="133"/>
      <c r="F252" s="140" t="str">
        <f>F187</f>
        <v>Transmission Cost of Service Formula Rate</v>
      </c>
      <c r="G252" s="139"/>
      <c r="H252" s="139"/>
      <c r="I252" s="139"/>
      <c r="J252" s="139"/>
      <c r="K252" s="138"/>
      <c r="L252" s="136"/>
      <c r="M252" s="108"/>
      <c r="N252" s="108"/>
      <c r="O252" s="111"/>
      <c r="P252" s="111"/>
      <c r="Q252" s="111"/>
      <c r="R252" s="111"/>
      <c r="S252" s="111"/>
      <c r="T252" s="111"/>
      <c r="U252" s="111"/>
    </row>
    <row r="253" spans="1:21" ht="15.75">
      <c r="B253" s="134"/>
      <c r="C253" s="133"/>
      <c r="D253" s="142"/>
      <c r="E253" s="141"/>
      <c r="F253" s="140" t="str">
        <f>F188</f>
        <v>Utilizing Actual Cost Data for 2017 with Average Ratebase Balances</v>
      </c>
      <c r="G253" s="139"/>
      <c r="H253" s="139"/>
      <c r="I253" s="139"/>
      <c r="J253" s="139"/>
      <c r="K253" s="138"/>
      <c r="L253" s="136"/>
      <c r="M253" s="108"/>
      <c r="N253" s="108"/>
      <c r="O253" s="111"/>
      <c r="P253" s="111"/>
      <c r="Q253" s="111"/>
      <c r="R253" s="111"/>
      <c r="S253" s="111"/>
      <c r="T253" s="111"/>
      <c r="U253" s="111"/>
    </row>
    <row r="254" spans="1:21" ht="15.75">
      <c r="B254" s="134"/>
      <c r="C254" s="133"/>
      <c r="D254" s="142"/>
      <c r="E254" s="141"/>
      <c r="F254" s="140"/>
      <c r="G254" s="139"/>
      <c r="H254" s="139"/>
      <c r="I254" s="139"/>
      <c r="J254" s="139"/>
      <c r="K254" s="138"/>
      <c r="L254" s="136"/>
      <c r="M254" s="108"/>
      <c r="N254" s="108"/>
      <c r="O254" s="111"/>
      <c r="P254" s="111"/>
      <c r="Q254" s="111"/>
      <c r="R254" s="111"/>
      <c r="S254" s="111"/>
      <c r="T254" s="111"/>
      <c r="U254" s="111"/>
    </row>
    <row r="255" spans="1:21" ht="15.75">
      <c r="B255" s="134"/>
      <c r="C255" s="133"/>
      <c r="D255" s="142"/>
      <c r="E255" s="141"/>
      <c r="F255" s="140" t="str">
        <f>F190</f>
        <v>AEP OKLAHOMA TRANSMISSION COMPANY, INC</v>
      </c>
      <c r="G255" s="139"/>
      <c r="H255" s="139"/>
      <c r="I255" s="139"/>
      <c r="J255" s="139"/>
      <c r="K255" s="138"/>
      <c r="L255" s="136"/>
      <c r="M255" s="108"/>
      <c r="N255" s="108"/>
      <c r="O255" s="111"/>
      <c r="P255" s="111"/>
      <c r="Q255" s="111"/>
      <c r="R255" s="111"/>
      <c r="S255" s="111"/>
      <c r="T255" s="111"/>
      <c r="U255" s="111"/>
    </row>
    <row r="256" spans="1:21" ht="15.75">
      <c r="B256" s="134"/>
      <c r="C256" s="133"/>
      <c r="D256" s="142"/>
      <c r="E256" s="141"/>
      <c r="F256" s="140"/>
      <c r="G256" s="139"/>
      <c r="H256" s="139"/>
      <c r="I256" s="139"/>
      <c r="J256" s="139"/>
      <c r="K256" s="138"/>
      <c r="L256" s="136"/>
      <c r="M256" s="108"/>
      <c r="N256" s="108"/>
      <c r="O256" s="111"/>
      <c r="P256" s="111"/>
      <c r="Q256" s="111"/>
      <c r="R256" s="111"/>
      <c r="S256" s="111"/>
      <c r="T256" s="111"/>
      <c r="U256" s="111"/>
    </row>
    <row r="257" spans="2:21" ht="15.75">
      <c r="B257" s="137" t="s">
        <v>337</v>
      </c>
      <c r="C257" s="132"/>
      <c r="D257" s="119"/>
      <c r="E257" s="125"/>
      <c r="F257" s="137" t="s">
        <v>336</v>
      </c>
      <c r="G257" s="131"/>
      <c r="H257" s="131"/>
      <c r="I257" s="131"/>
      <c r="J257" s="131"/>
      <c r="K257" s="125"/>
      <c r="L257" s="131"/>
      <c r="M257" s="108"/>
      <c r="N257" s="108"/>
      <c r="O257" s="111"/>
      <c r="P257" s="111"/>
      <c r="Q257" s="111"/>
      <c r="R257" s="111"/>
      <c r="S257" s="111"/>
      <c r="T257" s="111"/>
      <c r="U257" s="111"/>
    </row>
    <row r="258" spans="2:21">
      <c r="C258" s="132"/>
      <c r="L258" s="136"/>
      <c r="M258" s="108"/>
      <c r="N258" s="108"/>
      <c r="O258" s="111"/>
      <c r="P258" s="111"/>
      <c r="Q258" s="111"/>
      <c r="R258" s="111"/>
      <c r="S258" s="111"/>
      <c r="T258" s="111"/>
      <c r="U258" s="111"/>
    </row>
    <row r="259" spans="2:21">
      <c r="C259" s="132"/>
      <c r="D259" s="135" t="s">
        <v>335</v>
      </c>
      <c r="J259" s="118"/>
      <c r="K259" s="108"/>
      <c r="L259" s="108"/>
      <c r="M259" s="108"/>
      <c r="N259" s="108"/>
      <c r="O259" s="111"/>
      <c r="P259" s="111"/>
      <c r="Q259" s="111"/>
      <c r="R259" s="111"/>
      <c r="S259" s="111"/>
      <c r="T259" s="111"/>
      <c r="U259" s="111"/>
    </row>
    <row r="260" spans="2:21">
      <c r="B260" s="134"/>
      <c r="C260" s="133"/>
      <c r="D260" s="105" t="s">
        <v>334</v>
      </c>
      <c r="E260" s="114"/>
      <c r="F260" s="114"/>
      <c r="G260" s="131"/>
      <c r="H260" s="131"/>
      <c r="I260" s="131"/>
      <c r="J260" s="126"/>
      <c r="K260" s="108"/>
      <c r="L260" s="108"/>
      <c r="M260" s="108"/>
      <c r="N260" s="108"/>
      <c r="O260" s="111"/>
      <c r="P260" s="111"/>
      <c r="Q260" s="111"/>
      <c r="R260" s="111"/>
      <c r="S260" s="111"/>
      <c r="T260" s="111"/>
      <c r="U260" s="111"/>
    </row>
    <row r="261" spans="2:21">
      <c r="B261" s="104"/>
      <c r="D261" s="119" t="s">
        <v>333</v>
      </c>
      <c r="E261" s="125"/>
      <c r="F261" s="125"/>
      <c r="G261" s="131"/>
      <c r="H261" s="131"/>
      <c r="I261" s="131"/>
      <c r="J261" s="126"/>
      <c r="K261" s="108"/>
      <c r="L261" s="108"/>
      <c r="M261" s="108"/>
      <c r="N261" s="108"/>
      <c r="O261" s="111"/>
      <c r="P261" s="111"/>
      <c r="Q261" s="111"/>
      <c r="R261" s="111"/>
      <c r="S261" s="111"/>
      <c r="T261" s="111"/>
      <c r="U261" s="111"/>
    </row>
    <row r="262" spans="2:21">
      <c r="B262" s="104"/>
      <c r="D262" s="119"/>
      <c r="E262" s="125"/>
      <c r="F262" s="125"/>
      <c r="G262" s="131"/>
      <c r="H262" s="131"/>
      <c r="I262" s="131"/>
      <c r="J262" s="126"/>
      <c r="K262" s="108"/>
      <c r="L262" s="108"/>
      <c r="M262" s="108"/>
      <c r="N262" s="108"/>
      <c r="O262" s="111"/>
      <c r="P262" s="111"/>
      <c r="Q262" s="111"/>
      <c r="R262" s="111"/>
      <c r="S262" s="111"/>
      <c r="T262" s="111"/>
      <c r="U262" s="111"/>
    </row>
    <row r="263" spans="2:21">
      <c r="B263" s="123" t="s">
        <v>332</v>
      </c>
      <c r="C263" s="132"/>
      <c r="D263" s="119" t="s">
        <v>331</v>
      </c>
      <c r="E263" s="125"/>
      <c r="F263" s="125"/>
      <c r="G263" s="131"/>
      <c r="H263" s="131"/>
      <c r="I263" s="131"/>
      <c r="J263" s="126"/>
      <c r="K263" s="108"/>
      <c r="L263" s="108"/>
      <c r="M263" s="108"/>
      <c r="N263" s="108"/>
      <c r="O263" s="111"/>
      <c r="P263" s="111"/>
      <c r="Q263" s="111"/>
      <c r="R263" s="111"/>
      <c r="S263" s="111"/>
      <c r="T263" s="111"/>
      <c r="U263" s="111"/>
    </row>
    <row r="264" spans="2:21">
      <c r="B264" s="123"/>
      <c r="C264" s="122"/>
      <c r="D264" s="119" t="s">
        <v>330</v>
      </c>
      <c r="E264" s="125"/>
      <c r="F264" s="125"/>
      <c r="G264" s="125"/>
      <c r="H264" s="125"/>
      <c r="I264" s="125"/>
      <c r="J264" s="124"/>
      <c r="K264" s="108"/>
      <c r="L264" s="108"/>
      <c r="M264" s="108"/>
      <c r="N264" s="108"/>
      <c r="O264" s="111"/>
      <c r="P264" s="111"/>
      <c r="Q264" s="111"/>
      <c r="R264" s="111"/>
      <c r="S264" s="111"/>
      <c r="T264" s="111"/>
      <c r="U264" s="111"/>
    </row>
    <row r="265" spans="2:21">
      <c r="B265" s="121"/>
      <c r="C265" s="120"/>
      <c r="D265" s="119" t="s">
        <v>329</v>
      </c>
      <c r="E265" s="127"/>
      <c r="F265" s="127"/>
      <c r="G265" s="125"/>
      <c r="H265" s="125"/>
      <c r="I265" s="125"/>
      <c r="J265" s="124"/>
      <c r="K265" s="108"/>
      <c r="L265" s="108"/>
      <c r="M265" s="108"/>
      <c r="N265" s="108"/>
      <c r="O265" s="111"/>
      <c r="P265" s="111"/>
      <c r="Q265" s="111"/>
      <c r="R265" s="111"/>
      <c r="S265" s="111"/>
      <c r="T265" s="111"/>
      <c r="U265" s="111"/>
    </row>
    <row r="266" spans="2:21">
      <c r="B266" s="121"/>
      <c r="C266" s="120"/>
      <c r="D266" s="119" t="s">
        <v>328</v>
      </c>
      <c r="E266" s="125"/>
      <c r="F266" s="125"/>
      <c r="G266" s="125"/>
      <c r="H266" s="125"/>
      <c r="I266" s="125"/>
      <c r="J266" s="124"/>
      <c r="K266" s="108"/>
      <c r="L266" s="108"/>
      <c r="M266" s="108"/>
      <c r="N266" s="108"/>
      <c r="O266" s="111"/>
      <c r="P266" s="111"/>
      <c r="Q266" s="111"/>
      <c r="R266" s="111"/>
      <c r="S266" s="111"/>
      <c r="T266" s="111"/>
      <c r="U266" s="111"/>
    </row>
    <row r="267" spans="2:21">
      <c r="B267" s="115"/>
      <c r="C267" s="114"/>
      <c r="D267" s="119" t="s">
        <v>327</v>
      </c>
      <c r="E267" s="125"/>
      <c r="F267" s="125"/>
      <c r="G267" s="125"/>
      <c r="H267" s="125"/>
      <c r="I267" s="125"/>
      <c r="J267" s="124"/>
      <c r="K267" s="108"/>
      <c r="L267" s="108"/>
      <c r="M267" s="108"/>
      <c r="N267" s="108"/>
      <c r="O267" s="111"/>
      <c r="P267" s="111"/>
      <c r="Q267" s="111"/>
      <c r="R267" s="111"/>
      <c r="S267" s="111"/>
      <c r="T267" s="111"/>
      <c r="U267" s="111"/>
    </row>
    <row r="268" spans="2:21" ht="15" customHeight="1">
      <c r="B268" s="115"/>
      <c r="C268" s="114"/>
      <c r="D268" s="119"/>
      <c r="E268" s="125"/>
      <c r="F268" s="125"/>
      <c r="G268" s="125"/>
      <c r="H268" s="125"/>
      <c r="I268" s="125"/>
      <c r="J268" s="124"/>
      <c r="K268" s="108"/>
      <c r="L268" s="108"/>
      <c r="M268" s="108"/>
      <c r="N268" s="108"/>
      <c r="O268" s="111"/>
      <c r="P268" s="111"/>
      <c r="Q268" s="111"/>
      <c r="R268" s="111"/>
      <c r="S268" s="111"/>
      <c r="T268" s="111"/>
      <c r="U268" s="111"/>
    </row>
    <row r="269" spans="2:21">
      <c r="B269" s="115" t="s">
        <v>326</v>
      </c>
      <c r="C269" s="114"/>
      <c r="D269" s="130" t="s">
        <v>325</v>
      </c>
      <c r="E269" s="125"/>
      <c r="F269" s="125"/>
      <c r="G269" s="125"/>
      <c r="H269" s="125"/>
      <c r="I269" s="125"/>
      <c r="J269" s="124"/>
      <c r="K269" s="108"/>
      <c r="L269" s="108"/>
      <c r="M269" s="108"/>
      <c r="N269" s="108"/>
      <c r="O269" s="111"/>
      <c r="P269" s="111"/>
      <c r="Q269" s="111"/>
      <c r="R269" s="111"/>
      <c r="S269" s="111"/>
      <c r="T269" s="111"/>
      <c r="U269" s="111"/>
    </row>
    <row r="270" spans="2:21">
      <c r="B270" s="115"/>
      <c r="C270" s="114"/>
      <c r="D270" s="130"/>
      <c r="E270" s="125"/>
      <c r="F270" s="125"/>
      <c r="G270" s="125"/>
      <c r="H270" s="125"/>
      <c r="I270" s="125"/>
      <c r="J270" s="124"/>
      <c r="K270" s="108"/>
      <c r="L270" s="108"/>
      <c r="M270" s="108"/>
      <c r="N270" s="108"/>
      <c r="O270" s="111"/>
      <c r="P270" s="111"/>
      <c r="Q270" s="111"/>
      <c r="R270" s="111"/>
      <c r="S270" s="111"/>
      <c r="T270" s="111"/>
      <c r="U270" s="111"/>
    </row>
    <row r="271" spans="2:21">
      <c r="B271" s="115" t="s">
        <v>324</v>
      </c>
      <c r="C271" s="114"/>
      <c r="D271" s="129" t="s">
        <v>323</v>
      </c>
      <c r="E271" s="125"/>
      <c r="F271" s="125"/>
      <c r="G271" s="125"/>
      <c r="H271" s="125"/>
      <c r="I271" s="125"/>
      <c r="J271" s="124"/>
      <c r="K271" s="108"/>
      <c r="L271" s="108"/>
      <c r="M271" s="108"/>
      <c r="N271" s="108"/>
      <c r="O271" s="111"/>
      <c r="P271" s="111"/>
      <c r="Q271" s="111"/>
      <c r="R271" s="111"/>
      <c r="S271" s="111"/>
      <c r="T271" s="111"/>
      <c r="U271" s="111"/>
    </row>
    <row r="272" spans="2:21">
      <c r="B272" s="115"/>
      <c r="C272" s="114"/>
      <c r="D272" s="129" t="str">
        <f>"of the trued-up revenue requirement for each project, based on an FCR rate caclulated from inputs on this TCOS. Line "&amp;B35&amp;" shows the incremental ARR for"</f>
        <v>of the trued-up revenue requirement for each project, based on an FCR rate caclulated from inputs on this TCOS. Line 15 shows the incremental ARR for</v>
      </c>
      <c r="E272" s="125"/>
      <c r="F272" s="125"/>
      <c r="G272" s="125"/>
      <c r="H272" s="125"/>
      <c r="I272" s="125"/>
      <c r="J272" s="124"/>
      <c r="K272" s="108"/>
      <c r="L272" s="108"/>
      <c r="M272" s="108"/>
      <c r="N272" s="108"/>
      <c r="O272" s="111"/>
      <c r="P272" s="111"/>
      <c r="Q272" s="111"/>
      <c r="R272" s="111"/>
      <c r="S272" s="111"/>
      <c r="T272" s="111"/>
      <c r="U272" s="111"/>
    </row>
    <row r="273" spans="2:21">
      <c r="B273" s="115"/>
      <c r="C273" s="114"/>
      <c r="D273" s="129" t="s">
        <v>322</v>
      </c>
      <c r="E273" s="125"/>
      <c r="F273" s="125"/>
      <c r="G273" s="125"/>
      <c r="H273" s="125"/>
      <c r="I273" s="125"/>
      <c r="J273" s="124"/>
      <c r="K273" s="108"/>
      <c r="L273" s="108"/>
      <c r="M273" s="108"/>
      <c r="N273" s="108"/>
      <c r="O273" s="111"/>
      <c r="P273" s="119"/>
      <c r="Q273" s="119"/>
      <c r="R273" s="111"/>
      <c r="S273" s="111"/>
      <c r="T273" s="111"/>
      <c r="U273" s="111"/>
    </row>
    <row r="274" spans="2:21">
      <c r="B274" s="115"/>
      <c r="C274" s="114"/>
      <c r="D274" s="129"/>
      <c r="E274" s="125"/>
      <c r="F274" s="125"/>
      <c r="G274" s="125"/>
      <c r="H274" s="125"/>
      <c r="I274" s="125"/>
      <c r="J274" s="124"/>
      <c r="K274" s="108"/>
      <c r="L274" s="108"/>
      <c r="M274" s="108"/>
      <c r="N274" s="108"/>
      <c r="O274" s="111"/>
      <c r="P274" s="119"/>
      <c r="Q274" s="119"/>
      <c r="R274" s="111"/>
      <c r="S274" s="111"/>
      <c r="T274" s="111"/>
      <c r="U274" s="111"/>
    </row>
    <row r="275" spans="2:21">
      <c r="B275" s="115" t="s">
        <v>321</v>
      </c>
      <c r="C275" s="114"/>
      <c r="D275" s="473" t="s">
        <v>320</v>
      </c>
      <c r="E275" s="474"/>
      <c r="F275" s="474"/>
      <c r="G275" s="474"/>
      <c r="H275" s="474"/>
      <c r="I275" s="474"/>
      <c r="J275" s="474"/>
      <c r="K275" s="108"/>
      <c r="L275" s="108"/>
      <c r="M275" s="108"/>
      <c r="N275" s="108"/>
      <c r="O275" s="111"/>
      <c r="P275" s="119"/>
      <c r="Q275" s="119"/>
      <c r="R275" s="111"/>
      <c r="S275" s="111"/>
      <c r="T275" s="111"/>
      <c r="U275" s="111"/>
    </row>
    <row r="276" spans="2:21">
      <c r="B276" s="115"/>
      <c r="C276" s="114"/>
      <c r="D276" s="474"/>
      <c r="E276" s="474"/>
      <c r="F276" s="474"/>
      <c r="G276" s="474"/>
      <c r="H276" s="474"/>
      <c r="I276" s="474"/>
      <c r="J276" s="474"/>
      <c r="K276" s="108"/>
      <c r="L276" s="108"/>
      <c r="M276" s="108"/>
      <c r="N276" s="108"/>
      <c r="O276" s="111"/>
      <c r="P276" s="119"/>
      <c r="Q276" s="111"/>
      <c r="R276" s="111"/>
      <c r="S276" s="111"/>
      <c r="T276" s="111"/>
      <c r="U276" s="111"/>
    </row>
    <row r="277" spans="2:21">
      <c r="B277" s="115"/>
      <c r="C277" s="114"/>
      <c r="E277" s="125"/>
      <c r="F277" s="125"/>
      <c r="G277" s="125"/>
      <c r="H277" s="125"/>
      <c r="I277" s="125"/>
      <c r="J277" s="124"/>
      <c r="K277" s="108"/>
      <c r="L277" s="108"/>
      <c r="M277" s="108"/>
      <c r="N277" s="108"/>
      <c r="O277" s="111"/>
      <c r="P277" s="111"/>
      <c r="Q277" s="111"/>
      <c r="R277" s="111"/>
      <c r="S277" s="111"/>
      <c r="T277" s="111"/>
      <c r="U277" s="111"/>
    </row>
    <row r="278" spans="2:21">
      <c r="B278" s="115" t="s">
        <v>319</v>
      </c>
      <c r="C278" s="114"/>
      <c r="D278" s="119" t="s">
        <v>318</v>
      </c>
      <c r="E278" s="125"/>
      <c r="F278" s="125"/>
      <c r="G278" s="125"/>
      <c r="H278" s="125"/>
      <c r="I278" s="125"/>
      <c r="J278" s="124"/>
      <c r="K278" s="108"/>
      <c r="L278" s="108"/>
      <c r="M278" s="108"/>
      <c r="N278" s="108"/>
      <c r="O278" s="111"/>
      <c r="P278" s="111"/>
      <c r="Q278" s="111"/>
      <c r="R278" s="111"/>
      <c r="S278" s="111"/>
      <c r="T278" s="111"/>
      <c r="U278" s="111"/>
    </row>
    <row r="279" spans="2:21">
      <c r="B279" s="115"/>
      <c r="C279" s="114"/>
      <c r="D279" s="119" t="s">
        <v>317</v>
      </c>
      <c r="E279" s="125"/>
      <c r="F279" s="125"/>
      <c r="G279" s="125"/>
      <c r="H279" s="125"/>
      <c r="I279" s="125"/>
      <c r="J279" s="124"/>
      <c r="K279" s="108"/>
      <c r="L279" s="108"/>
      <c r="M279" s="108"/>
      <c r="N279" s="108"/>
      <c r="O279" s="111"/>
      <c r="P279" s="111"/>
      <c r="Q279" s="111"/>
      <c r="R279" s="111"/>
      <c r="S279" s="111"/>
      <c r="T279" s="111"/>
      <c r="U279" s="111"/>
    </row>
    <row r="280" spans="2:21">
      <c r="C280" s="114"/>
      <c r="D280" s="119" t="s">
        <v>316</v>
      </c>
      <c r="E280" s="125"/>
      <c r="F280" s="125"/>
      <c r="G280" s="125"/>
      <c r="H280" s="125"/>
      <c r="I280" s="125"/>
      <c r="J280" s="124"/>
      <c r="K280" s="108"/>
      <c r="L280" s="108"/>
      <c r="M280" s="108"/>
      <c r="N280" s="108"/>
      <c r="O280" s="111"/>
      <c r="P280" s="111"/>
      <c r="Q280" s="111"/>
      <c r="R280" s="111"/>
      <c r="S280" s="111"/>
      <c r="T280" s="111"/>
      <c r="U280" s="111"/>
    </row>
    <row r="281" spans="2:21">
      <c r="B281" s="115"/>
      <c r="C281" s="114"/>
      <c r="D281" s="119" t="s">
        <v>315</v>
      </c>
      <c r="E281" s="125"/>
      <c r="F281" s="125"/>
      <c r="G281" s="125"/>
      <c r="H281" s="125"/>
      <c r="I281" s="125"/>
      <c r="J281" s="124"/>
      <c r="K281" s="108"/>
      <c r="L281" s="108"/>
      <c r="M281" s="108"/>
      <c r="N281" s="108"/>
      <c r="O281" s="111"/>
      <c r="P281" s="111"/>
      <c r="Q281" s="111"/>
      <c r="R281" s="111"/>
      <c r="S281" s="111"/>
      <c r="T281" s="111"/>
      <c r="U281" s="111"/>
    </row>
    <row r="282" spans="2:21">
      <c r="B282" s="115"/>
      <c r="C282" s="114"/>
      <c r="D282" s="119"/>
      <c r="E282" s="125"/>
      <c r="F282" s="125"/>
      <c r="G282" s="125"/>
      <c r="H282" s="125"/>
      <c r="I282" s="125"/>
      <c r="J282" s="124"/>
      <c r="K282" s="108"/>
      <c r="L282" s="108"/>
      <c r="M282" s="108"/>
      <c r="N282" s="108"/>
      <c r="O282" s="111"/>
      <c r="P282" s="111"/>
      <c r="Q282" s="111"/>
      <c r="R282" s="111"/>
      <c r="S282" s="111"/>
      <c r="T282" s="111"/>
      <c r="U282" s="111"/>
    </row>
    <row r="283" spans="2:21">
      <c r="B283" s="115" t="s">
        <v>314</v>
      </c>
      <c r="C283" s="114"/>
      <c r="D283" s="119" t="s">
        <v>313</v>
      </c>
      <c r="E283" s="125"/>
      <c r="F283" s="125"/>
      <c r="G283" s="125"/>
      <c r="H283" s="125"/>
      <c r="I283" s="125"/>
      <c r="J283" s="124"/>
      <c r="K283" s="108"/>
      <c r="L283" s="108"/>
      <c r="M283" s="108"/>
      <c r="N283" s="108"/>
      <c r="O283" s="111"/>
      <c r="P283" s="111"/>
      <c r="Q283" s="111"/>
      <c r="R283" s="111"/>
      <c r="S283" s="111"/>
      <c r="T283" s="111"/>
      <c r="U283" s="111"/>
    </row>
    <row r="284" spans="2:21">
      <c r="B284" s="115"/>
      <c r="C284" s="114"/>
      <c r="D284" s="119"/>
      <c r="E284" s="125"/>
      <c r="F284" s="125"/>
      <c r="G284" s="125"/>
      <c r="H284" s="125"/>
      <c r="I284" s="125"/>
      <c r="J284" s="124"/>
      <c r="K284" s="108"/>
      <c r="L284" s="108"/>
      <c r="M284" s="108"/>
      <c r="N284" s="108"/>
      <c r="O284" s="111"/>
      <c r="P284" s="111"/>
      <c r="Q284" s="111"/>
      <c r="R284" s="111"/>
      <c r="S284" s="111"/>
      <c r="T284" s="111"/>
      <c r="U284" s="111"/>
    </row>
    <row r="285" spans="2:21">
      <c r="B285" s="115" t="s">
        <v>312</v>
      </c>
      <c r="C285" s="114"/>
      <c r="D285" s="119" t="str">
        <f>"Cash Working Capital assigned to transmission is one-eighth of O&amp;M allocated to transmission on line "&amp;B130&amp;"."</f>
        <v>Cash Working Capital assigned to transmission is one-eighth of O&amp;M allocated to transmission on line 68.</v>
      </c>
      <c r="E285" s="125"/>
      <c r="F285" s="125"/>
      <c r="G285" s="125"/>
      <c r="H285" s="125"/>
      <c r="I285" s="125"/>
      <c r="J285" s="124"/>
      <c r="K285" s="108"/>
      <c r="L285" s="108"/>
      <c r="M285" s="108"/>
      <c r="N285" s="108"/>
      <c r="O285" s="111"/>
      <c r="P285" s="111"/>
      <c r="Q285" s="111"/>
      <c r="R285" s="111"/>
      <c r="S285" s="111"/>
      <c r="T285" s="111"/>
      <c r="U285" s="111"/>
    </row>
    <row r="286" spans="2:21">
      <c r="B286" s="115"/>
      <c r="C286" s="114"/>
      <c r="D286" s="119"/>
      <c r="E286" s="125"/>
      <c r="F286" s="125"/>
      <c r="G286" s="125"/>
      <c r="H286" s="125"/>
      <c r="I286" s="125"/>
      <c r="J286" s="124"/>
      <c r="K286" s="108"/>
      <c r="L286" s="108"/>
      <c r="M286" s="108"/>
      <c r="N286" s="108"/>
      <c r="O286" s="111"/>
      <c r="P286" s="111"/>
      <c r="Q286" s="111"/>
      <c r="R286" s="111"/>
      <c r="S286" s="111"/>
      <c r="T286" s="111"/>
      <c r="U286" s="111"/>
    </row>
    <row r="287" spans="2:21">
      <c r="B287" s="123" t="s">
        <v>311</v>
      </c>
      <c r="C287" s="122"/>
      <c r="D287" s="120" t="str">
        <f>"Consistent with Paragraph 657 of Order 2003-A, the amount on line "&amp;B109&amp;" is equal to the balance of IPP System Upgrade Credits owed to transmission customers that"</f>
        <v>Consistent with Paragraph 657 of Order 2003-A, the amount on line 62 is equal to the balance of IPP System Upgrade Credits owed to transmission customers that</v>
      </c>
      <c r="E287" s="120"/>
      <c r="F287" s="120"/>
      <c r="G287" s="120"/>
      <c r="H287" s="120"/>
      <c r="I287" s="120"/>
      <c r="J287" s="126"/>
      <c r="K287" s="108"/>
      <c r="L287" s="108"/>
      <c r="M287" s="108"/>
      <c r="N287" s="108"/>
      <c r="O287" s="111"/>
      <c r="P287" s="111"/>
      <c r="Q287" s="111"/>
      <c r="R287" s="111"/>
      <c r="S287" s="111"/>
      <c r="T287" s="111"/>
      <c r="U287" s="111"/>
    </row>
    <row r="288" spans="2:21">
      <c r="B288" s="121"/>
      <c r="C288" s="120"/>
      <c r="D288" s="120" t="s">
        <v>310</v>
      </c>
      <c r="E288" s="120"/>
      <c r="F288" s="120"/>
      <c r="G288" s="120"/>
      <c r="H288" s="120"/>
      <c r="I288" s="120"/>
      <c r="J288" s="126"/>
      <c r="K288" s="108"/>
      <c r="L288" s="108"/>
      <c r="M288" s="108"/>
      <c r="N288" s="108"/>
      <c r="O288" s="111"/>
      <c r="P288" s="111"/>
      <c r="Q288" s="111"/>
      <c r="R288" s="111"/>
      <c r="S288" s="111"/>
      <c r="T288" s="111"/>
      <c r="U288" s="111"/>
    </row>
    <row r="289" spans="2:21">
      <c r="B289" s="121"/>
      <c r="C289" s="120"/>
      <c r="D289" s="120" t="str">
        <f>"expense is included on line "&amp;B176&amp;"."</f>
        <v>expense is included on line 105.</v>
      </c>
      <c r="E289" s="120"/>
      <c r="F289" s="120"/>
      <c r="G289" s="120"/>
      <c r="H289" s="120"/>
      <c r="I289" s="120"/>
      <c r="J289" s="126"/>
      <c r="K289" s="108"/>
      <c r="L289" s="108"/>
      <c r="M289" s="108"/>
      <c r="N289" s="108"/>
      <c r="O289" s="111"/>
      <c r="P289" s="111"/>
      <c r="Q289" s="111"/>
      <c r="R289" s="111"/>
      <c r="S289" s="111"/>
      <c r="T289" s="111"/>
      <c r="U289" s="111"/>
    </row>
    <row r="290" spans="2:21">
      <c r="B290" s="121"/>
      <c r="C290" s="120"/>
      <c r="D290" s="120"/>
      <c r="E290" s="120"/>
      <c r="F290" s="120"/>
      <c r="G290" s="120"/>
      <c r="H290" s="120"/>
      <c r="I290" s="120"/>
      <c r="J290" s="126"/>
      <c r="K290" s="108"/>
      <c r="L290" s="108"/>
      <c r="M290" s="108"/>
      <c r="N290" s="108"/>
      <c r="O290" s="111"/>
      <c r="P290" s="111"/>
      <c r="Q290" s="111"/>
      <c r="R290" s="111"/>
      <c r="S290" s="111"/>
      <c r="T290" s="111"/>
      <c r="U290" s="111"/>
    </row>
    <row r="291" spans="2:21">
      <c r="B291" s="123" t="s">
        <v>309</v>
      </c>
      <c r="C291" s="120"/>
      <c r="D291" s="119" t="s">
        <v>308</v>
      </c>
      <c r="E291" s="120"/>
      <c r="F291" s="120"/>
      <c r="G291" s="120"/>
      <c r="H291" s="120"/>
      <c r="I291" s="120"/>
      <c r="J291" s="126"/>
      <c r="K291" s="108"/>
      <c r="L291" s="108"/>
      <c r="M291" s="108"/>
      <c r="N291" s="108"/>
      <c r="O291" s="111"/>
      <c r="P291" s="111"/>
      <c r="Q291" s="111"/>
      <c r="R291" s="111"/>
      <c r="S291" s="111"/>
      <c r="T291" s="111"/>
      <c r="U291" s="111"/>
    </row>
    <row r="292" spans="2:21">
      <c r="B292" s="123"/>
      <c r="C292" s="120"/>
      <c r="D292" s="119"/>
      <c r="E292" s="120"/>
      <c r="F292" s="120"/>
      <c r="G292" s="120"/>
      <c r="H292" s="120"/>
      <c r="I292" s="120"/>
      <c r="J292" s="126"/>
      <c r="K292" s="108"/>
      <c r="L292" s="108"/>
      <c r="M292" s="108"/>
      <c r="N292" s="108"/>
      <c r="O292" s="111"/>
      <c r="P292" s="111"/>
      <c r="Q292" s="111"/>
      <c r="R292" s="111"/>
      <c r="S292" s="111"/>
      <c r="T292" s="111"/>
      <c r="U292" s="111"/>
    </row>
    <row r="293" spans="2:21">
      <c r="B293" s="123" t="s">
        <v>307</v>
      </c>
      <c r="C293" s="120"/>
      <c r="D293" s="120" t="s">
        <v>306</v>
      </c>
      <c r="E293" s="120"/>
      <c r="F293" s="120"/>
      <c r="G293" s="120"/>
      <c r="H293" s="120"/>
      <c r="I293" s="120"/>
      <c r="J293" s="126"/>
      <c r="K293" s="108"/>
      <c r="L293" s="108"/>
      <c r="M293" s="108"/>
      <c r="N293" s="108"/>
      <c r="O293" s="111"/>
      <c r="P293" s="111"/>
      <c r="Q293" s="111"/>
      <c r="R293" s="111"/>
      <c r="S293" s="111"/>
      <c r="T293" s="111"/>
      <c r="U293" s="111"/>
    </row>
    <row r="294" spans="2:21">
      <c r="B294" s="123"/>
      <c r="C294" s="120"/>
      <c r="D294" s="120"/>
      <c r="E294" s="120"/>
      <c r="F294" s="120"/>
      <c r="G294" s="120"/>
      <c r="H294" s="120"/>
      <c r="I294" s="120"/>
      <c r="J294" s="126"/>
      <c r="K294" s="108"/>
      <c r="L294" s="108"/>
      <c r="M294" s="108"/>
      <c r="N294" s="108"/>
      <c r="O294" s="111"/>
      <c r="P294" s="111"/>
      <c r="Q294" s="111"/>
      <c r="R294" s="111"/>
      <c r="S294" s="111"/>
      <c r="T294" s="111"/>
      <c r="U294" s="111"/>
    </row>
    <row r="295" spans="2:21">
      <c r="B295" s="115" t="s">
        <v>305</v>
      </c>
      <c r="C295" s="120"/>
      <c r="D295" s="120" t="s">
        <v>304</v>
      </c>
      <c r="E295" s="120"/>
      <c r="F295" s="120"/>
      <c r="G295" s="120"/>
      <c r="H295" s="120"/>
      <c r="I295" s="120"/>
      <c r="J295" s="126"/>
      <c r="K295" s="108"/>
      <c r="L295" s="108"/>
      <c r="M295" s="108"/>
      <c r="N295" s="108"/>
      <c r="O295" s="111"/>
      <c r="P295" s="111"/>
      <c r="Q295" s="111"/>
      <c r="R295" s="111"/>
      <c r="S295" s="111"/>
      <c r="T295" s="111"/>
      <c r="U295" s="111"/>
    </row>
    <row r="296" spans="2:21">
      <c r="B296" s="123"/>
      <c r="C296" s="120"/>
      <c r="D296" s="120"/>
      <c r="E296" s="120"/>
      <c r="F296" s="120"/>
      <c r="G296" s="120"/>
      <c r="H296" s="120"/>
      <c r="I296" s="120"/>
      <c r="J296" s="126"/>
      <c r="K296" s="108"/>
      <c r="L296" s="108"/>
      <c r="M296" s="108"/>
      <c r="N296" s="108"/>
      <c r="O296" s="111"/>
      <c r="P296" s="111"/>
      <c r="Q296" s="111"/>
      <c r="R296" s="111"/>
      <c r="S296" s="111"/>
      <c r="T296" s="111"/>
      <c r="U296" s="111"/>
    </row>
    <row r="297" spans="2:21">
      <c r="B297" s="115" t="s">
        <v>303</v>
      </c>
      <c r="C297" s="114"/>
      <c r="D297" s="119" t="s">
        <v>302</v>
      </c>
      <c r="E297" s="125"/>
      <c r="F297" s="125"/>
      <c r="G297" s="125"/>
      <c r="H297" s="125"/>
      <c r="I297" s="125"/>
      <c r="J297" s="124"/>
      <c r="K297" s="108"/>
      <c r="L297" s="108"/>
      <c r="M297" s="108"/>
      <c r="N297" s="108"/>
      <c r="O297" s="111"/>
      <c r="P297" s="111"/>
      <c r="Q297" s="111"/>
      <c r="R297" s="111"/>
      <c r="S297" s="111"/>
      <c r="T297" s="111"/>
      <c r="U297" s="111"/>
    </row>
    <row r="298" spans="2:21">
      <c r="B298" s="115"/>
      <c r="C298" s="114"/>
      <c r="D298" s="119" t="s">
        <v>301</v>
      </c>
      <c r="E298" s="125"/>
      <c r="F298" s="125"/>
      <c r="G298" s="125"/>
      <c r="H298" s="125"/>
      <c r="I298" s="125"/>
      <c r="J298" s="124"/>
      <c r="K298" s="108"/>
      <c r="L298" s="108"/>
      <c r="M298" s="108"/>
      <c r="N298" s="108"/>
      <c r="O298" s="111"/>
      <c r="P298" s="111"/>
      <c r="Q298" s="111"/>
      <c r="R298" s="111"/>
      <c r="S298" s="111"/>
      <c r="T298" s="111"/>
      <c r="U298" s="111"/>
    </row>
    <row r="299" spans="2:21">
      <c r="B299" s="115"/>
      <c r="C299" s="114"/>
      <c r="D299" s="119" t="s">
        <v>300</v>
      </c>
      <c r="E299" s="125"/>
      <c r="F299" s="125"/>
      <c r="G299" s="125"/>
      <c r="H299" s="125"/>
      <c r="I299" s="125"/>
      <c r="J299" s="124"/>
      <c r="K299" s="108"/>
      <c r="L299" s="108"/>
      <c r="M299" s="108"/>
      <c r="N299" s="108"/>
      <c r="O299" s="111"/>
      <c r="P299" s="111"/>
      <c r="Q299" s="111"/>
      <c r="R299" s="111"/>
      <c r="S299" s="111"/>
      <c r="T299" s="111"/>
      <c r="U299" s="111"/>
    </row>
    <row r="300" spans="2:21">
      <c r="B300" s="115"/>
      <c r="C300" s="114"/>
      <c r="D300" s="120" t="s">
        <v>299</v>
      </c>
      <c r="E300" s="125"/>
      <c r="F300" s="125"/>
      <c r="G300" s="125"/>
      <c r="H300" s="125"/>
      <c r="I300" s="125"/>
      <c r="J300" s="124"/>
      <c r="K300" s="108"/>
      <c r="L300" s="108"/>
      <c r="M300" s="108"/>
      <c r="N300" s="108"/>
      <c r="O300" s="111"/>
      <c r="P300" s="111"/>
      <c r="Q300" s="111"/>
      <c r="R300" s="111"/>
      <c r="S300" s="111"/>
      <c r="T300" s="111"/>
      <c r="U300" s="111"/>
    </row>
    <row r="301" spans="2:21">
      <c r="B301" s="115"/>
      <c r="C301" s="114"/>
      <c r="D301" s="120"/>
      <c r="E301" s="125"/>
      <c r="F301" s="125"/>
      <c r="G301" s="125"/>
      <c r="H301" s="125"/>
      <c r="I301" s="125"/>
      <c r="J301" s="124"/>
      <c r="K301" s="108"/>
      <c r="L301" s="108"/>
      <c r="M301" s="108"/>
      <c r="N301" s="108"/>
      <c r="O301" s="111"/>
      <c r="P301" s="111"/>
      <c r="Q301" s="111"/>
      <c r="R301" s="111"/>
      <c r="S301" s="111"/>
      <c r="T301" s="111"/>
      <c r="U301" s="111"/>
    </row>
    <row r="302" spans="2:21">
      <c r="B302" s="115" t="s">
        <v>298</v>
      </c>
      <c r="C302" s="114"/>
      <c r="D302" s="476" t="s">
        <v>297</v>
      </c>
      <c r="E302" s="474"/>
      <c r="F302" s="474"/>
      <c r="G302" s="474"/>
      <c r="H302" s="474"/>
      <c r="I302" s="474"/>
      <c r="J302" s="474"/>
      <c r="K302" s="108"/>
      <c r="L302" s="108"/>
      <c r="M302" s="108"/>
      <c r="N302" s="108"/>
      <c r="O302" s="111"/>
      <c r="P302" s="111"/>
      <c r="Q302" s="111"/>
      <c r="R302" s="111"/>
      <c r="S302" s="111"/>
      <c r="T302" s="111"/>
      <c r="U302" s="111"/>
    </row>
    <row r="303" spans="2:21">
      <c r="B303" s="115"/>
      <c r="C303" s="114"/>
      <c r="D303" s="120"/>
      <c r="E303" s="125"/>
      <c r="F303" s="125"/>
      <c r="G303" s="125"/>
      <c r="H303" s="125"/>
      <c r="I303" s="125"/>
      <c r="J303" s="124"/>
      <c r="K303" s="108"/>
      <c r="L303" s="108"/>
      <c r="M303" s="108"/>
      <c r="N303" s="108"/>
      <c r="O303" s="111"/>
      <c r="P303" s="111"/>
      <c r="Q303" s="111"/>
      <c r="R303" s="111"/>
      <c r="S303" s="111"/>
      <c r="T303" s="111"/>
      <c r="U303" s="111"/>
    </row>
    <row r="304" spans="2:21">
      <c r="B304" s="128" t="s">
        <v>296</v>
      </c>
      <c r="C304" s="114"/>
      <c r="D304" s="477" t="s">
        <v>295</v>
      </c>
      <c r="E304" s="474"/>
      <c r="F304" s="474"/>
      <c r="G304" s="474"/>
      <c r="H304" s="474"/>
      <c r="I304" s="474"/>
      <c r="J304" s="474"/>
      <c r="K304" s="108"/>
      <c r="L304" s="108"/>
      <c r="M304" s="108"/>
      <c r="N304" s="108"/>
      <c r="O304" s="111"/>
      <c r="P304" s="111"/>
      <c r="Q304" s="111"/>
      <c r="R304" s="111"/>
      <c r="S304" s="111"/>
      <c r="T304" s="111"/>
      <c r="U304" s="111"/>
    </row>
    <row r="305" spans="2:21">
      <c r="B305" s="128"/>
      <c r="C305" s="114"/>
      <c r="D305" s="474"/>
      <c r="E305" s="474"/>
      <c r="F305" s="474"/>
      <c r="G305" s="474"/>
      <c r="H305" s="474"/>
      <c r="I305" s="474"/>
      <c r="J305" s="474"/>
      <c r="K305" s="108"/>
      <c r="L305" s="108"/>
      <c r="M305" s="108"/>
      <c r="N305" s="108"/>
      <c r="O305" s="111"/>
      <c r="P305" s="111"/>
      <c r="Q305" s="111"/>
      <c r="R305" s="111"/>
      <c r="S305" s="111"/>
      <c r="T305" s="111"/>
      <c r="U305" s="111"/>
    </row>
    <row r="306" spans="2:21">
      <c r="B306" s="128"/>
      <c r="C306" s="114"/>
      <c r="D306" s="119"/>
      <c r="E306" s="120"/>
      <c r="F306" s="120"/>
      <c r="G306" s="120"/>
      <c r="H306" s="120"/>
      <c r="I306" s="120"/>
      <c r="J306" s="126"/>
      <c r="K306" s="108"/>
      <c r="L306" s="108"/>
      <c r="M306" s="108"/>
      <c r="N306" s="108"/>
      <c r="O306" s="111"/>
      <c r="P306" s="111"/>
      <c r="Q306" s="111"/>
      <c r="R306" s="111"/>
      <c r="S306" s="111"/>
      <c r="T306" s="111"/>
      <c r="U306" s="111"/>
    </row>
    <row r="307" spans="2:21">
      <c r="B307" s="115" t="s">
        <v>294</v>
      </c>
      <c r="C307" s="114"/>
      <c r="D307" s="119" t="s">
        <v>293</v>
      </c>
      <c r="E307" s="125"/>
      <c r="F307" s="125"/>
      <c r="G307" s="125"/>
      <c r="H307" s="125"/>
      <c r="I307" s="125"/>
      <c r="J307" s="124"/>
      <c r="K307" s="108"/>
      <c r="L307" s="108"/>
      <c r="M307" s="108"/>
      <c r="N307" s="108"/>
      <c r="O307" s="111"/>
      <c r="P307" s="111"/>
      <c r="Q307" s="111"/>
      <c r="R307" s="111"/>
      <c r="S307" s="111"/>
      <c r="T307" s="111"/>
      <c r="U307" s="111"/>
    </row>
    <row r="308" spans="2:21">
      <c r="B308" s="115"/>
      <c r="C308" s="114"/>
      <c r="D308" s="119" t="s">
        <v>292</v>
      </c>
      <c r="E308" s="125"/>
      <c r="F308" s="125"/>
      <c r="G308" s="125"/>
      <c r="H308" s="125"/>
      <c r="I308" s="125"/>
      <c r="J308" s="124"/>
      <c r="K308" s="108"/>
      <c r="L308" s="108"/>
      <c r="M308" s="108"/>
      <c r="N308" s="108"/>
      <c r="O308" s="111"/>
      <c r="P308" s="111"/>
      <c r="Q308" s="111"/>
      <c r="R308" s="111"/>
      <c r="S308" s="111"/>
      <c r="T308" s="111"/>
      <c r="U308" s="111"/>
    </row>
    <row r="309" spans="2:21">
      <c r="B309" s="115"/>
      <c r="C309" s="114"/>
      <c r="D309" s="119" t="s">
        <v>291</v>
      </c>
      <c r="E309" s="125"/>
      <c r="F309" s="125"/>
      <c r="G309" s="125"/>
      <c r="H309" s="125"/>
      <c r="I309" s="125"/>
      <c r="J309" s="124"/>
      <c r="K309" s="108"/>
      <c r="L309" s="108"/>
      <c r="M309" s="108"/>
      <c r="N309" s="108"/>
      <c r="O309" s="111"/>
      <c r="P309" s="111"/>
      <c r="Q309" s="111"/>
      <c r="R309" s="111"/>
      <c r="S309" s="111"/>
      <c r="T309" s="111"/>
      <c r="U309" s="111"/>
    </row>
    <row r="310" spans="2:21">
      <c r="B310" s="115"/>
      <c r="C310" s="114"/>
      <c r="D310" s="119" t="s">
        <v>290</v>
      </c>
      <c r="E310" s="125"/>
      <c r="F310" s="125"/>
      <c r="G310" s="125"/>
      <c r="H310" s="125"/>
      <c r="I310" s="125"/>
      <c r="J310" s="124"/>
      <c r="K310" s="108"/>
      <c r="L310" s="108"/>
      <c r="M310" s="108"/>
      <c r="N310" s="108"/>
      <c r="O310" s="111"/>
      <c r="P310" s="111"/>
      <c r="Q310" s="111"/>
      <c r="R310" s="111"/>
      <c r="S310" s="111"/>
      <c r="T310" s="111"/>
      <c r="U310" s="111"/>
    </row>
    <row r="311" spans="2:21">
      <c r="B311" s="115"/>
      <c r="C311" s="114"/>
      <c r="D311" s="119" t="s">
        <v>289</v>
      </c>
      <c r="E311" s="125"/>
      <c r="F311" s="125"/>
      <c r="G311" s="125"/>
      <c r="H311" s="125"/>
      <c r="I311" s="125"/>
      <c r="J311" s="124"/>
      <c r="K311" s="108"/>
      <c r="L311" s="108"/>
      <c r="M311" s="108"/>
      <c r="N311" s="108"/>
      <c r="O311" s="111"/>
      <c r="P311" s="111"/>
      <c r="Q311" s="111"/>
      <c r="R311" s="111"/>
      <c r="S311" s="111"/>
      <c r="T311" s="111"/>
      <c r="U311" s="111"/>
    </row>
    <row r="312" spans="2:21">
      <c r="B312" s="115"/>
      <c r="C312" s="114"/>
      <c r="D312" s="119" t="str">
        <f>"(ln "&amp;B163&amp;") multiplied by (1/1-T) .  If the applicable tax rates are zero enter 0."</f>
        <v>(ln 95) multiplied by (1/1-T) .  If the applicable tax rates are zero enter 0.</v>
      </c>
      <c r="E312" s="125"/>
      <c r="F312" s="125"/>
      <c r="G312" s="125"/>
      <c r="H312" s="125"/>
      <c r="I312" s="125"/>
      <c r="J312" s="124"/>
      <c r="K312" s="108"/>
      <c r="L312" s="108"/>
      <c r="M312" s="108"/>
      <c r="N312" s="108"/>
      <c r="O312" s="111"/>
      <c r="P312" s="111"/>
      <c r="Q312" s="111"/>
      <c r="R312" s="111"/>
      <c r="S312" s="111"/>
      <c r="T312" s="111"/>
      <c r="U312" s="111"/>
    </row>
    <row r="313" spans="2:21">
      <c r="B313" s="115" t="s">
        <v>288</v>
      </c>
      <c r="C313" s="114"/>
      <c r="D313" s="119" t="s">
        <v>287</v>
      </c>
      <c r="E313" s="125" t="s">
        <v>286</v>
      </c>
      <c r="F313" s="127">
        <f>+'[6]OKT Historic TCOS'!F326</f>
        <v>0.35</v>
      </c>
      <c r="G313" s="125"/>
      <c r="I313" s="125"/>
      <c r="J313" s="124"/>
      <c r="K313" s="108"/>
      <c r="L313" s="108"/>
      <c r="M313" s="108"/>
      <c r="N313" s="108"/>
      <c r="O313" s="111"/>
      <c r="P313" s="111"/>
      <c r="Q313" s="111"/>
      <c r="R313" s="111"/>
      <c r="S313" s="111"/>
      <c r="T313" s="111"/>
      <c r="U313" s="111"/>
    </row>
    <row r="314" spans="2:21">
      <c r="B314" s="115"/>
      <c r="C314" s="114"/>
      <c r="D314" s="119"/>
      <c r="E314" s="125" t="s">
        <v>285</v>
      </c>
      <c r="F314" s="127">
        <f>+'[6]OKT WS K State Taxes'!F18</f>
        <v>5.6599999999999998E-2</v>
      </c>
      <c r="G314" s="125" t="s">
        <v>284</v>
      </c>
      <c r="I314" s="125"/>
      <c r="J314" s="124"/>
      <c r="K314" s="108"/>
      <c r="L314" s="108"/>
      <c r="M314" s="108"/>
      <c r="N314" s="108"/>
      <c r="O314" s="111"/>
      <c r="P314" s="111"/>
      <c r="Q314" s="111"/>
      <c r="R314" s="111"/>
      <c r="S314" s="111"/>
      <c r="T314" s="111"/>
      <c r="U314" s="111"/>
    </row>
    <row r="315" spans="2:21">
      <c r="B315" s="115"/>
      <c r="C315" s="114"/>
      <c r="D315" s="119"/>
      <c r="E315" s="125" t="s">
        <v>283</v>
      </c>
      <c r="F315" s="127">
        <f>+'[6]OKT Historic TCOS'!F328</f>
        <v>0</v>
      </c>
      <c r="G315" s="125" t="s">
        <v>282</v>
      </c>
      <c r="I315" s="125"/>
      <c r="J315" s="124"/>
      <c r="K315" s="108"/>
      <c r="L315" s="108"/>
      <c r="M315" s="108"/>
      <c r="N315" s="108"/>
      <c r="O315" s="111"/>
      <c r="P315" s="111"/>
      <c r="Q315" s="111"/>
      <c r="R315" s="111"/>
      <c r="S315" s="111"/>
      <c r="T315" s="111"/>
      <c r="U315" s="111"/>
    </row>
    <row r="316" spans="2:21">
      <c r="B316" s="115"/>
      <c r="C316" s="114"/>
      <c r="D316" s="119"/>
      <c r="E316" s="125"/>
      <c r="F316" s="127"/>
      <c r="G316" s="125"/>
      <c r="I316" s="125"/>
      <c r="J316" s="124"/>
      <c r="K316" s="108"/>
      <c r="L316" s="108"/>
      <c r="M316" s="108"/>
      <c r="N316" s="108"/>
      <c r="O316" s="111"/>
      <c r="P316" s="111"/>
      <c r="Q316" s="111"/>
      <c r="R316" s="111"/>
      <c r="S316" s="111"/>
      <c r="T316" s="111"/>
      <c r="U316" s="111"/>
    </row>
    <row r="317" spans="2:21">
      <c r="B317" s="115" t="s">
        <v>281</v>
      </c>
      <c r="C317" s="114"/>
      <c r="D317" s="119" t="s">
        <v>280</v>
      </c>
      <c r="E317" s="125"/>
      <c r="F317" s="125"/>
      <c r="G317" s="127"/>
      <c r="H317" s="125"/>
      <c r="I317" s="125"/>
      <c r="J317" s="124"/>
      <c r="K317" s="108"/>
      <c r="L317" s="108"/>
      <c r="M317" s="108"/>
      <c r="N317" s="108"/>
      <c r="O317" s="111"/>
      <c r="P317" s="111"/>
      <c r="Q317" s="111"/>
      <c r="R317" s="111"/>
      <c r="S317" s="111"/>
      <c r="T317" s="111"/>
      <c r="U317" s="111"/>
    </row>
    <row r="318" spans="2:21">
      <c r="B318" s="115"/>
      <c r="C318" s="114"/>
      <c r="D318" s="119" t="s">
        <v>279</v>
      </c>
      <c r="E318" s="125"/>
      <c r="F318" s="125"/>
      <c r="G318" s="127"/>
      <c r="H318" s="125"/>
      <c r="I318" s="125"/>
      <c r="J318" s="124"/>
      <c r="K318" s="108"/>
      <c r="L318" s="108"/>
      <c r="M318" s="108"/>
      <c r="N318" s="108"/>
      <c r="O318" s="111"/>
      <c r="P318" s="111"/>
      <c r="Q318" s="111"/>
      <c r="R318" s="111"/>
      <c r="S318" s="111"/>
      <c r="T318" s="111"/>
      <c r="U318" s="111"/>
    </row>
    <row r="319" spans="2:21">
      <c r="B319" s="115"/>
      <c r="C319" s="114"/>
      <c r="D319" s="119"/>
      <c r="E319" s="125"/>
      <c r="F319" s="125"/>
      <c r="G319" s="127"/>
      <c r="H319" s="125"/>
      <c r="I319" s="125"/>
      <c r="J319" s="124"/>
      <c r="K319" s="108"/>
      <c r="L319" s="108"/>
      <c r="M319" s="108"/>
      <c r="N319" s="108"/>
      <c r="O319" s="111"/>
      <c r="P319" s="111"/>
      <c r="Q319" s="111"/>
      <c r="R319" s="111"/>
      <c r="S319" s="111"/>
      <c r="T319" s="111"/>
      <c r="U319" s="111"/>
    </row>
    <row r="320" spans="2:21">
      <c r="B320" s="115" t="s">
        <v>278</v>
      </c>
      <c r="C320" s="114"/>
      <c r="D320" s="119" t="s">
        <v>277</v>
      </c>
      <c r="E320" s="120"/>
      <c r="F320" s="120"/>
      <c r="G320" s="120"/>
      <c r="H320" s="120"/>
      <c r="I320" s="120"/>
      <c r="J320" s="126"/>
      <c r="K320" s="108"/>
      <c r="L320" s="108"/>
      <c r="M320" s="108"/>
      <c r="N320" s="108"/>
      <c r="O320" s="111"/>
      <c r="P320" s="111"/>
      <c r="Q320" s="111"/>
      <c r="R320" s="111"/>
      <c r="S320" s="111"/>
      <c r="T320" s="111"/>
      <c r="U320" s="111"/>
    </row>
    <row r="321" spans="2:21">
      <c r="B321" s="104"/>
      <c r="D321" s="119"/>
      <c r="E321" s="120"/>
      <c r="F321" s="120"/>
      <c r="G321" s="120"/>
      <c r="H321" s="120"/>
      <c r="I321" s="120"/>
      <c r="J321" s="126"/>
      <c r="K321" s="108"/>
      <c r="L321" s="108"/>
      <c r="M321" s="108"/>
      <c r="N321" s="108"/>
      <c r="O321" s="111"/>
      <c r="P321" s="111"/>
      <c r="Q321" s="111"/>
      <c r="R321" s="111"/>
      <c r="S321" s="111"/>
      <c r="T321" s="111"/>
      <c r="U321" s="111"/>
    </row>
    <row r="322" spans="2:21">
      <c r="B322" s="115" t="s">
        <v>276</v>
      </c>
      <c r="C322" s="114"/>
      <c r="D322" s="119" t="s">
        <v>275</v>
      </c>
      <c r="E322" s="120"/>
      <c r="F322" s="120"/>
      <c r="G322" s="120"/>
      <c r="H322" s="120"/>
      <c r="I322" s="120"/>
      <c r="J322" s="126"/>
      <c r="K322" s="108"/>
      <c r="L322" s="108"/>
      <c r="M322" s="108"/>
      <c r="N322" s="108"/>
      <c r="O322" s="111"/>
      <c r="P322" s="111"/>
      <c r="Q322" s="111"/>
      <c r="R322" s="111"/>
      <c r="S322" s="111"/>
      <c r="T322" s="111"/>
      <c r="U322" s="111"/>
    </row>
    <row r="323" spans="2:21">
      <c r="B323" s="115"/>
      <c r="C323" s="114"/>
      <c r="D323" s="119"/>
      <c r="E323" s="125"/>
      <c r="F323" s="125"/>
      <c r="G323" s="125"/>
      <c r="H323" s="125"/>
      <c r="I323" s="125"/>
      <c r="J323" s="124"/>
      <c r="K323" s="108"/>
      <c r="L323" s="108"/>
      <c r="M323" s="108"/>
      <c r="N323" s="108"/>
      <c r="O323" s="111"/>
      <c r="P323" s="111"/>
      <c r="Q323" s="111"/>
      <c r="R323" s="111"/>
      <c r="S323" s="111"/>
      <c r="T323" s="111"/>
      <c r="U323" s="111"/>
    </row>
    <row r="324" spans="2:21">
      <c r="B324" s="115" t="s">
        <v>274</v>
      </c>
      <c r="C324" s="114"/>
      <c r="D324" s="119" t="s">
        <v>273</v>
      </c>
      <c r="E324" s="125"/>
      <c r="F324" s="125"/>
      <c r="G324" s="125"/>
      <c r="H324" s="125"/>
      <c r="I324" s="125"/>
      <c r="J324" s="124"/>
      <c r="K324" s="108"/>
      <c r="L324" s="108"/>
      <c r="M324" s="108"/>
      <c r="N324" s="108"/>
      <c r="O324" s="111"/>
      <c r="P324" s="111"/>
      <c r="Q324" s="111"/>
      <c r="R324" s="111"/>
      <c r="S324" s="111"/>
      <c r="T324" s="111"/>
      <c r="U324" s="111"/>
    </row>
    <row r="325" spans="2:21">
      <c r="B325" s="115"/>
      <c r="C325" s="114"/>
      <c r="D325" s="119"/>
      <c r="E325" s="125"/>
      <c r="F325" s="125"/>
      <c r="G325" s="125"/>
      <c r="H325" s="125"/>
      <c r="I325" s="125"/>
      <c r="J325" s="124"/>
      <c r="K325" s="108"/>
      <c r="L325" s="108"/>
      <c r="M325" s="108"/>
      <c r="N325" s="108"/>
      <c r="O325" s="111"/>
      <c r="P325" s="111"/>
      <c r="Q325" s="111"/>
      <c r="R325" s="111"/>
      <c r="S325" s="111"/>
      <c r="T325" s="111"/>
      <c r="U325" s="111"/>
    </row>
    <row r="326" spans="2:21">
      <c r="B326" s="123" t="s">
        <v>272</v>
      </c>
      <c r="C326" s="122"/>
      <c r="D326" s="478" t="str">
        <f>"The Capital Structure of "&amp;F7&amp;" will be based on the Capital Structure of PSO until "&amp;F7&amp;" establishes a stand alond capital structure computed on Worksheet M for the Projected TCOS or Worksheet N for the True-up TCOS."</f>
        <v>The Capital Structure of AEP OKLAHOMA TRANSMISSION COMPANY, INC will be based on the Capital Structure of PSO until AEP OKLAHOMA TRANSMISSION COMPANY, INC establishes a stand alond capital structure computed on Worksheet M for the Projected TCOS or Worksheet N for the True-up TCOS.</v>
      </c>
      <c r="E326" s="478"/>
      <c r="F326" s="478"/>
      <c r="G326" s="478"/>
      <c r="H326" s="478"/>
      <c r="I326" s="478"/>
      <c r="J326" s="478"/>
      <c r="K326" s="478"/>
      <c r="L326" s="478"/>
      <c r="M326" s="108"/>
      <c r="N326" s="108"/>
      <c r="O326" s="111"/>
      <c r="P326" s="111"/>
      <c r="Q326" s="111"/>
      <c r="R326" s="111"/>
      <c r="S326" s="111"/>
      <c r="T326" s="111"/>
      <c r="U326" s="111"/>
    </row>
    <row r="327" spans="2:21">
      <c r="B327" s="121"/>
      <c r="C327" s="120"/>
      <c r="D327" s="478"/>
      <c r="E327" s="478"/>
      <c r="F327" s="478"/>
      <c r="G327" s="478"/>
      <c r="H327" s="478"/>
      <c r="I327" s="478"/>
      <c r="J327" s="478"/>
      <c r="K327" s="478"/>
      <c r="L327" s="478"/>
      <c r="M327" s="108"/>
      <c r="N327" s="108"/>
      <c r="O327" s="111"/>
      <c r="P327" s="111"/>
      <c r="Q327" s="111"/>
      <c r="R327" s="111"/>
      <c r="S327" s="111"/>
      <c r="T327" s="111"/>
      <c r="U327" s="111"/>
    </row>
    <row r="328" spans="2:21" ht="15" customHeight="1">
      <c r="B328" s="121"/>
      <c r="C328" s="120"/>
      <c r="D328" s="119" t="str">
        <f>"Long Term Debt cost rate = long-term interest (ln "&amp;B234&amp;") / long term debt (ln "&amp;B244&amp;").  Preferred Stock cost rate = preferred dividends (ln "&amp;B235&amp;") / preferred outstanding (ln "&amp;B245&amp;")."</f>
        <v>Long Term Debt cost rate = long-term interest (ln 139) / long term debt (ln 148).  Preferred Stock cost rate = preferred dividends (ln 140) / preferred outstanding (ln 149).</v>
      </c>
      <c r="M328" s="108"/>
      <c r="N328" s="108"/>
      <c r="O328" s="111"/>
      <c r="P328" s="111"/>
      <c r="Q328" s="111"/>
      <c r="R328" s="111"/>
      <c r="S328" s="111"/>
      <c r="T328" s="111"/>
      <c r="U328" s="111"/>
    </row>
    <row r="329" spans="2:21">
      <c r="B329" s="121"/>
      <c r="C329" s="120"/>
      <c r="D329" s="119" t="str">
        <f>"Common Stock cost rate (ROE) = "&amp;J246*100&amp;"%, the rate accepted by FERC in Docket Nos. ER07-1069 and ER10-355.  It includes an additional 50 basis points for remaining a member of the SPP RTO."</f>
        <v>Common Stock cost rate (ROE) = 11.2%, the rate accepted by FERC in Docket Nos. ER07-1069 and ER10-355.  It includes an additional 50 basis points for remaining a member of the SPP RTO.</v>
      </c>
      <c r="M329" s="108"/>
      <c r="N329" s="108"/>
      <c r="O329" s="111"/>
      <c r="P329" s="111"/>
      <c r="Q329" s="111"/>
      <c r="R329" s="111"/>
      <c r="S329" s="111"/>
      <c r="T329" s="111"/>
      <c r="U329" s="111"/>
    </row>
    <row r="330" spans="2:21">
      <c r="B330" s="121"/>
      <c r="C330" s="120"/>
      <c r="D330" s="119"/>
      <c r="J330" s="118"/>
      <c r="M330" s="108"/>
      <c r="N330" s="108"/>
      <c r="O330" s="111"/>
      <c r="P330" s="111"/>
      <c r="Q330" s="111"/>
      <c r="R330" s="111"/>
      <c r="S330" s="111"/>
      <c r="T330" s="111"/>
      <c r="U330" s="111"/>
    </row>
    <row r="331" spans="2:21" ht="15" customHeight="1">
      <c r="B331" s="117" t="s">
        <v>271</v>
      </c>
      <c r="C331" s="114"/>
      <c r="D331" s="473" t="str">
        <f>"Per Settlement, equity is limited to "&amp;E230*100&amp;"% of "&amp;F7&amp;"'s Capital Structure.  If the percentage of equity exceeds the cap, the excess is included in long term debt in the cap structure. This value can only change via an approved 205 or 206 filing. "</f>
        <v xml:space="preserve">Per Settlement, equity is limited to 50% of AEP OKLAHOMA TRANSMISSION COMPANY, INC's Capital Structure.  If the percentage of equity exceeds the cap, the excess is included in long term debt in the cap structure. This value can only change via an approved 205 or 206 filing. </v>
      </c>
      <c r="E331" s="474"/>
      <c r="F331" s="474"/>
      <c r="G331" s="474"/>
      <c r="H331" s="474"/>
      <c r="I331" s="474"/>
      <c r="J331" s="474"/>
      <c r="K331" s="474"/>
      <c r="L331" s="474"/>
      <c r="M331" s="108"/>
      <c r="N331" s="108"/>
      <c r="O331" s="111"/>
      <c r="P331" s="111"/>
      <c r="Q331" s="111"/>
      <c r="R331" s="111"/>
      <c r="S331" s="111"/>
      <c r="T331" s="111"/>
      <c r="U331" s="111"/>
    </row>
    <row r="332" spans="2:21">
      <c r="B332" s="115"/>
      <c r="C332" s="114"/>
      <c r="D332" s="474"/>
      <c r="E332" s="474"/>
      <c r="F332" s="474"/>
      <c r="G332" s="474"/>
      <c r="H332" s="474"/>
      <c r="I332" s="474"/>
      <c r="J332" s="474"/>
      <c r="K332" s="474"/>
      <c r="L332" s="474"/>
      <c r="M332" s="108"/>
      <c r="N332" s="108"/>
      <c r="O332" s="111"/>
      <c r="P332" s="111"/>
      <c r="Q332" s="111"/>
      <c r="R332" s="111"/>
      <c r="S332" s="111"/>
      <c r="T332" s="111"/>
      <c r="U332" s="111"/>
    </row>
    <row r="333" spans="2:21">
      <c r="B333" s="115"/>
      <c r="C333" s="114"/>
      <c r="M333" s="108"/>
      <c r="N333" s="108"/>
      <c r="O333" s="111"/>
      <c r="P333" s="111"/>
      <c r="Q333" s="111"/>
      <c r="R333" s="111"/>
      <c r="S333" s="111"/>
      <c r="T333" s="111"/>
      <c r="U333" s="111"/>
    </row>
    <row r="334" spans="2:21">
      <c r="B334" s="115"/>
      <c r="C334" s="114"/>
      <c r="M334" s="108"/>
      <c r="N334" s="108"/>
      <c r="O334" s="111"/>
      <c r="P334" s="111"/>
      <c r="Q334" s="111"/>
      <c r="R334" s="111"/>
      <c r="S334" s="111"/>
      <c r="T334" s="111"/>
      <c r="U334" s="111"/>
    </row>
    <row r="335" spans="2:21">
      <c r="B335" s="115"/>
      <c r="C335" s="114"/>
      <c r="M335" s="108"/>
      <c r="N335" s="108"/>
      <c r="O335" s="111"/>
      <c r="P335" s="111"/>
      <c r="Q335" s="111"/>
      <c r="R335" s="111"/>
      <c r="S335" s="111"/>
      <c r="T335" s="111"/>
      <c r="U335" s="111"/>
    </row>
    <row r="336" spans="2:21">
      <c r="B336" s="116"/>
      <c r="C336" s="116"/>
      <c r="D336" s="116"/>
      <c r="E336" s="116"/>
      <c r="F336" s="116"/>
      <c r="G336" s="116"/>
      <c r="H336" s="116"/>
      <c r="M336" s="108"/>
      <c r="N336" s="108"/>
      <c r="O336" s="111"/>
      <c r="P336" s="111"/>
      <c r="Q336" s="111"/>
      <c r="R336" s="111"/>
      <c r="S336" s="111"/>
      <c r="T336" s="111"/>
      <c r="U336" s="111"/>
    </row>
    <row r="337" spans="2:21">
      <c r="B337" s="108"/>
      <c r="C337" s="108"/>
      <c r="D337" s="108"/>
      <c r="E337" s="108"/>
      <c r="F337" s="108"/>
      <c r="G337" s="108"/>
      <c r="H337" s="108"/>
      <c r="M337" s="108"/>
      <c r="N337" s="108"/>
      <c r="O337" s="111"/>
      <c r="P337" s="111"/>
      <c r="Q337" s="111"/>
      <c r="R337" s="111"/>
      <c r="S337" s="111"/>
      <c r="T337" s="111"/>
      <c r="U337" s="111"/>
    </row>
    <row r="338" spans="2:21">
      <c r="B338" s="108"/>
      <c r="C338" s="108"/>
      <c r="M338" s="108"/>
      <c r="N338" s="108"/>
      <c r="O338" s="111"/>
      <c r="P338" s="111"/>
      <c r="Q338" s="111"/>
      <c r="R338" s="111"/>
      <c r="S338" s="111"/>
      <c r="T338" s="111"/>
      <c r="U338" s="111"/>
    </row>
    <row r="339" spans="2:21">
      <c r="B339" s="108"/>
      <c r="C339" s="108"/>
      <c r="M339" s="108"/>
      <c r="N339" s="108"/>
      <c r="O339" s="111"/>
      <c r="P339" s="111"/>
      <c r="Q339" s="111"/>
      <c r="R339" s="111"/>
      <c r="S339" s="111"/>
      <c r="T339" s="111"/>
      <c r="U339" s="111"/>
    </row>
    <row r="340" spans="2:21">
      <c r="B340" s="108"/>
      <c r="C340" s="108"/>
      <c r="D340" s="108"/>
      <c r="E340" s="108"/>
      <c r="F340" s="108"/>
      <c r="G340" s="108"/>
      <c r="H340" s="108"/>
      <c r="M340" s="108"/>
      <c r="N340" s="108"/>
      <c r="O340" s="111"/>
      <c r="P340" s="111"/>
      <c r="Q340" s="111"/>
      <c r="R340" s="111"/>
      <c r="S340" s="111"/>
      <c r="T340" s="111"/>
      <c r="U340" s="111"/>
    </row>
    <row r="341" spans="2:21">
      <c r="B341" s="108"/>
      <c r="C341" s="108"/>
      <c r="D341" s="108"/>
      <c r="E341" s="108"/>
      <c r="F341" s="108"/>
      <c r="G341" s="108"/>
      <c r="H341" s="108"/>
      <c r="M341" s="108"/>
      <c r="N341" s="108"/>
      <c r="O341" s="111"/>
      <c r="P341" s="111"/>
      <c r="Q341" s="111"/>
      <c r="R341" s="111"/>
      <c r="S341" s="111"/>
      <c r="T341" s="111"/>
      <c r="U341" s="111"/>
    </row>
    <row r="342" spans="2:21">
      <c r="B342" s="108"/>
      <c r="C342" s="108"/>
      <c r="D342" s="108"/>
      <c r="E342" s="108"/>
      <c r="F342" s="108"/>
      <c r="G342" s="108"/>
      <c r="H342" s="108"/>
      <c r="M342" s="108"/>
      <c r="N342" s="108"/>
      <c r="O342" s="111"/>
      <c r="P342" s="111"/>
      <c r="Q342" s="111"/>
      <c r="R342" s="111"/>
      <c r="S342" s="111"/>
      <c r="T342" s="111"/>
      <c r="U342" s="111"/>
    </row>
    <row r="343" spans="2:21">
      <c r="B343" s="108"/>
      <c r="C343" s="108"/>
      <c r="D343" s="108"/>
      <c r="E343" s="108"/>
      <c r="F343" s="108"/>
      <c r="G343" s="108"/>
      <c r="H343" s="108"/>
      <c r="M343" s="108"/>
      <c r="N343" s="108"/>
      <c r="O343" s="111"/>
      <c r="P343" s="111"/>
      <c r="Q343" s="111"/>
      <c r="R343" s="111"/>
      <c r="S343" s="111"/>
      <c r="T343" s="111"/>
      <c r="U343" s="111"/>
    </row>
    <row r="344" spans="2:21">
      <c r="B344" s="108"/>
      <c r="C344" s="108"/>
      <c r="D344" s="108"/>
      <c r="E344" s="108"/>
      <c r="F344" s="108"/>
      <c r="G344" s="108"/>
      <c r="H344" s="108"/>
      <c r="M344" s="108"/>
      <c r="N344" s="108"/>
      <c r="O344" s="111"/>
      <c r="P344" s="111"/>
      <c r="Q344" s="111"/>
      <c r="R344" s="111"/>
      <c r="S344" s="111"/>
      <c r="T344" s="111"/>
      <c r="U344" s="111"/>
    </row>
    <row r="345" spans="2:21">
      <c r="B345" s="108"/>
      <c r="C345" s="108"/>
      <c r="D345" s="108"/>
      <c r="E345" s="108"/>
      <c r="F345" s="108"/>
      <c r="G345" s="108"/>
      <c r="H345" s="108"/>
      <c r="M345" s="108"/>
      <c r="N345" s="108"/>
      <c r="O345" s="111"/>
      <c r="P345" s="111"/>
      <c r="Q345" s="111"/>
      <c r="R345" s="111"/>
      <c r="S345" s="111"/>
      <c r="T345" s="111"/>
      <c r="U345" s="111"/>
    </row>
    <row r="346" spans="2:21">
      <c r="B346" s="108"/>
      <c r="C346" s="108"/>
      <c r="D346" s="108"/>
      <c r="E346" s="108"/>
      <c r="F346" s="108"/>
      <c r="G346" s="108"/>
      <c r="H346" s="108"/>
      <c r="M346" s="108"/>
      <c r="N346" s="108"/>
      <c r="O346" s="111"/>
      <c r="P346" s="111"/>
      <c r="Q346" s="111"/>
      <c r="R346" s="111"/>
      <c r="S346" s="111"/>
      <c r="T346" s="111"/>
      <c r="U346" s="111"/>
    </row>
    <row r="347" spans="2:21">
      <c r="B347" s="115"/>
      <c r="C347" s="114"/>
      <c r="M347" s="108"/>
      <c r="N347" s="108"/>
      <c r="O347" s="111"/>
      <c r="P347" s="111"/>
      <c r="Q347" s="111"/>
      <c r="R347" s="111"/>
      <c r="S347" s="111"/>
      <c r="T347" s="111"/>
      <c r="U347" s="111"/>
    </row>
    <row r="348" spans="2:21">
      <c r="B348" s="104"/>
      <c r="M348" s="108"/>
      <c r="N348" s="108"/>
      <c r="O348" s="111"/>
      <c r="P348" s="111"/>
      <c r="Q348" s="111"/>
      <c r="R348" s="111"/>
      <c r="S348" s="111"/>
      <c r="T348" s="111"/>
      <c r="U348" s="111"/>
    </row>
    <row r="349" spans="2:21">
      <c r="B349" s="104"/>
      <c r="M349" s="108"/>
      <c r="N349" s="108"/>
      <c r="O349" s="111"/>
      <c r="P349" s="111"/>
      <c r="Q349" s="111"/>
      <c r="R349" s="111"/>
      <c r="S349" s="111"/>
      <c r="T349" s="111"/>
      <c r="U349" s="111"/>
    </row>
    <row r="350" spans="2:21">
      <c r="B350" s="104"/>
      <c r="M350" s="108"/>
      <c r="N350" s="108"/>
      <c r="O350" s="111"/>
      <c r="P350" s="111"/>
      <c r="Q350" s="111"/>
      <c r="R350" s="111"/>
      <c r="S350" s="111"/>
      <c r="T350" s="111"/>
      <c r="U350" s="111"/>
    </row>
    <row r="351" spans="2:21">
      <c r="B351" s="104"/>
      <c r="H351" s="111"/>
      <c r="I351" s="111"/>
      <c r="J351" s="111"/>
      <c r="K351" s="111"/>
      <c r="L351" s="111"/>
      <c r="M351" s="108"/>
      <c r="N351" s="108"/>
      <c r="O351" s="111"/>
      <c r="P351" s="111"/>
      <c r="Q351" s="111"/>
      <c r="R351" s="111"/>
      <c r="S351" s="111"/>
      <c r="T351" s="111"/>
      <c r="U351" s="111"/>
    </row>
    <row r="352" spans="2:21">
      <c r="B352" s="104"/>
      <c r="H352" s="111"/>
      <c r="K352" s="111"/>
      <c r="L352" s="111"/>
      <c r="M352" s="108"/>
      <c r="N352" s="108"/>
      <c r="O352" s="111"/>
      <c r="P352" s="111"/>
      <c r="Q352" s="111"/>
      <c r="R352" s="111"/>
      <c r="S352" s="111"/>
      <c r="T352" s="111"/>
      <c r="U352" s="111"/>
    </row>
    <row r="353" spans="2:21">
      <c r="B353" s="104"/>
      <c r="H353" s="111"/>
      <c r="I353" s="111" t="s">
        <v>270</v>
      </c>
      <c r="J353" s="109"/>
      <c r="K353" s="111"/>
      <c r="L353" s="111"/>
      <c r="M353" s="108"/>
      <c r="N353" s="108"/>
      <c r="O353" s="111"/>
      <c r="P353" s="111"/>
      <c r="Q353" s="111"/>
      <c r="R353" s="111"/>
      <c r="S353" s="111"/>
      <c r="T353" s="111"/>
      <c r="U353" s="111"/>
    </row>
    <row r="354" spans="2:21">
      <c r="B354" s="104"/>
      <c r="H354" s="111"/>
      <c r="I354" s="110" t="s">
        <v>269</v>
      </c>
      <c r="J354" s="109">
        <v>1</v>
      </c>
      <c r="K354" s="111"/>
      <c r="L354" s="111"/>
      <c r="M354" s="108"/>
      <c r="N354" s="108"/>
      <c r="O354" s="111"/>
      <c r="P354" s="111"/>
      <c r="Q354" s="111"/>
      <c r="R354" s="111"/>
      <c r="S354" s="111"/>
      <c r="T354" s="111"/>
      <c r="U354" s="111"/>
    </row>
    <row r="355" spans="2:21">
      <c r="B355" s="104"/>
      <c r="H355" s="111"/>
      <c r="I355" s="110" t="s">
        <v>268</v>
      </c>
      <c r="J355" s="109">
        <f>+$J$63</f>
        <v>0.93210214288667248</v>
      </c>
      <c r="K355" s="111"/>
      <c r="L355" s="111"/>
      <c r="M355" s="108"/>
      <c r="N355" s="108"/>
      <c r="O355" s="111"/>
      <c r="P355" s="111"/>
      <c r="Q355" s="111"/>
      <c r="R355" s="111"/>
      <c r="S355" s="111"/>
      <c r="T355" s="111"/>
      <c r="U355" s="111"/>
    </row>
    <row r="356" spans="2:21">
      <c r="B356" s="104"/>
      <c r="H356" s="111"/>
      <c r="I356" s="110" t="s">
        <v>267</v>
      </c>
      <c r="J356" s="109">
        <f>'OKT 2017 True-Up TCOS - 10.5%'!$J$64</f>
        <v>1</v>
      </c>
      <c r="K356" s="111"/>
      <c r="L356" s="111"/>
      <c r="M356" s="108"/>
      <c r="N356" s="108"/>
      <c r="O356" s="111"/>
      <c r="P356" s="111"/>
      <c r="Q356" s="111"/>
      <c r="R356" s="111"/>
      <c r="S356" s="111"/>
      <c r="T356" s="111"/>
      <c r="U356" s="111"/>
    </row>
    <row r="357" spans="2:21">
      <c r="B357" s="112"/>
      <c r="C357" s="111"/>
      <c r="D357" s="111"/>
      <c r="E357" s="111"/>
      <c r="F357" s="111"/>
      <c r="G357" s="111"/>
      <c r="H357" s="111"/>
      <c r="I357" s="110" t="s">
        <v>266</v>
      </c>
      <c r="J357" s="113">
        <v>0</v>
      </c>
      <c r="K357" s="111"/>
      <c r="L357" s="111"/>
      <c r="M357" s="108"/>
      <c r="N357" s="108"/>
      <c r="O357" s="111"/>
      <c r="P357" s="111"/>
      <c r="Q357" s="111"/>
      <c r="R357" s="111"/>
      <c r="S357" s="111"/>
      <c r="T357" s="111"/>
      <c r="U357" s="111"/>
    </row>
    <row r="358" spans="2:21">
      <c r="B358" s="112"/>
      <c r="C358" s="111"/>
      <c r="D358" s="111"/>
      <c r="E358" s="111"/>
      <c r="F358" s="111"/>
      <c r="G358" s="111"/>
      <c r="H358" s="111"/>
      <c r="I358" s="110" t="s">
        <v>265</v>
      </c>
      <c r="J358" s="109">
        <f>$J$83</f>
        <v>0.92880955981852253</v>
      </c>
      <c r="K358" s="111"/>
      <c r="L358" s="111"/>
      <c r="M358" s="108"/>
      <c r="N358" s="108"/>
      <c r="O358" s="111"/>
      <c r="P358" s="111"/>
      <c r="Q358" s="111"/>
      <c r="R358" s="111"/>
      <c r="S358" s="111"/>
      <c r="T358" s="111"/>
      <c r="U358" s="111"/>
    </row>
    <row r="359" spans="2:21">
      <c r="B359" s="112"/>
      <c r="C359" s="111"/>
      <c r="D359" s="111"/>
      <c r="E359" s="111"/>
      <c r="F359" s="111"/>
      <c r="G359" s="111"/>
      <c r="H359" s="111"/>
      <c r="I359" s="110" t="s">
        <v>264</v>
      </c>
      <c r="J359" s="109">
        <f>$L$201</f>
        <v>0.93210214288667259</v>
      </c>
      <c r="K359" s="111"/>
      <c r="L359" s="111"/>
      <c r="M359" s="108"/>
      <c r="N359" s="108"/>
      <c r="O359" s="111"/>
      <c r="P359" s="111"/>
      <c r="Q359" s="111"/>
      <c r="R359" s="111"/>
      <c r="S359" s="111"/>
      <c r="T359" s="111"/>
      <c r="U359" s="111"/>
    </row>
    <row r="360" spans="2:21">
      <c r="B360" s="107"/>
      <c r="C360" s="105"/>
      <c r="D360" s="105"/>
      <c r="E360" s="105"/>
      <c r="F360" s="105"/>
      <c r="G360" s="105"/>
      <c r="H360" s="105"/>
      <c r="I360" s="110" t="s">
        <v>263</v>
      </c>
      <c r="J360" s="109">
        <f>$J$68</f>
        <v>1</v>
      </c>
      <c r="K360" s="105"/>
      <c r="L360" s="105"/>
      <c r="M360" s="108"/>
      <c r="N360" s="108"/>
    </row>
    <row r="361" spans="2:21">
      <c r="B361" s="107"/>
      <c r="C361" s="105"/>
      <c r="D361" s="105"/>
      <c r="E361" s="105"/>
      <c r="F361" s="105"/>
      <c r="G361" s="105"/>
      <c r="H361" s="105"/>
      <c r="I361" s="110" t="s">
        <v>262</v>
      </c>
      <c r="J361" s="109">
        <f>$L$211</f>
        <v>0.9321021428866727</v>
      </c>
      <c r="K361" s="105"/>
      <c r="L361" s="105"/>
      <c r="M361" s="108"/>
      <c r="N361" s="108"/>
    </row>
    <row r="362" spans="2:21">
      <c r="B362" s="107"/>
      <c r="C362" s="105"/>
      <c r="D362" s="105"/>
      <c r="E362" s="105"/>
      <c r="F362" s="105"/>
      <c r="G362" s="105"/>
      <c r="H362" s="105"/>
      <c r="I362" s="105"/>
      <c r="J362" s="105"/>
      <c r="K362" s="105"/>
      <c r="L362" s="105"/>
      <c r="M362" s="108"/>
      <c r="N362" s="108"/>
    </row>
    <row r="363" spans="2:21">
      <c r="B363" s="107"/>
      <c r="C363" s="105"/>
      <c r="D363" s="105"/>
      <c r="E363" s="105"/>
      <c r="F363" s="105"/>
      <c r="G363" s="105"/>
      <c r="H363" s="105"/>
      <c r="I363" s="105"/>
      <c r="J363" s="105"/>
      <c r="K363" s="105"/>
      <c r="L363" s="105"/>
      <c r="M363" s="108"/>
      <c r="N363" s="108"/>
    </row>
    <row r="364" spans="2:21">
      <c r="B364" s="107"/>
      <c r="C364" s="105"/>
      <c r="D364" s="105"/>
      <c r="E364" s="105"/>
      <c r="F364" s="105"/>
      <c r="G364" s="105"/>
      <c r="H364" s="105"/>
      <c r="I364" s="105"/>
      <c r="J364" s="105"/>
      <c r="K364" s="105"/>
      <c r="L364" s="105"/>
      <c r="M364" s="108"/>
      <c r="N364" s="108"/>
    </row>
    <row r="365" spans="2:21">
      <c r="B365" s="107"/>
      <c r="C365" s="105"/>
      <c r="D365" s="105"/>
      <c r="E365" s="105"/>
      <c r="F365" s="105"/>
      <c r="G365" s="105"/>
      <c r="H365" s="105"/>
      <c r="I365" s="105"/>
      <c r="J365" s="105"/>
      <c r="K365" s="105"/>
      <c r="L365" s="105"/>
      <c r="M365" s="108"/>
      <c r="N365" s="108"/>
    </row>
    <row r="366" spans="2:21">
      <c r="B366" s="107"/>
      <c r="C366" s="105"/>
      <c r="D366" s="105"/>
      <c r="E366" s="105"/>
      <c r="F366" s="105"/>
      <c r="G366" s="105"/>
      <c r="H366" s="105"/>
      <c r="I366" s="105"/>
      <c r="J366" s="105"/>
      <c r="K366" s="105"/>
      <c r="L366" s="105"/>
      <c r="M366" s="108"/>
      <c r="N366" s="108"/>
    </row>
    <row r="367" spans="2:21">
      <c r="B367" s="107"/>
      <c r="C367" s="105"/>
      <c r="D367" s="105"/>
      <c r="E367" s="105"/>
      <c r="F367" s="105"/>
      <c r="G367" s="105"/>
      <c r="H367" s="105"/>
      <c r="I367" s="105"/>
      <c r="J367" s="105"/>
      <c r="K367" s="105"/>
      <c r="L367" s="105"/>
      <c r="M367" s="108"/>
      <c r="N367" s="108"/>
    </row>
    <row r="368" spans="2:21">
      <c r="B368" s="107"/>
      <c r="C368" s="105"/>
      <c r="D368" s="105"/>
      <c r="E368" s="105"/>
      <c r="F368" s="105"/>
      <c r="G368" s="105"/>
      <c r="H368" s="105"/>
      <c r="I368" s="105"/>
      <c r="J368" s="105"/>
      <c r="K368" s="105"/>
      <c r="L368" s="105"/>
      <c r="M368" s="108"/>
      <c r="N368" s="108"/>
    </row>
    <row r="369" spans="2:14">
      <c r="B369" s="107"/>
      <c r="C369" s="105"/>
      <c r="D369" s="105"/>
      <c r="E369" s="105"/>
      <c r="F369" s="105"/>
      <c r="G369" s="105"/>
      <c r="H369" s="105"/>
      <c r="I369" s="105"/>
      <c r="J369" s="105"/>
      <c r="K369" s="105"/>
      <c r="L369" s="105"/>
      <c r="M369" s="108"/>
      <c r="N369" s="108"/>
    </row>
    <row r="370" spans="2:14">
      <c r="B370" s="107"/>
      <c r="C370" s="105"/>
      <c r="D370" s="105"/>
      <c r="E370" s="105"/>
      <c r="F370" s="105"/>
      <c r="G370" s="105"/>
      <c r="H370" s="105"/>
      <c r="I370" s="105"/>
      <c r="J370" s="105"/>
      <c r="K370" s="105"/>
      <c r="L370" s="105"/>
      <c r="M370" s="108"/>
      <c r="N370" s="108"/>
    </row>
    <row r="371" spans="2:14">
      <c r="B371" s="107"/>
      <c r="C371" s="105"/>
      <c r="D371" s="105"/>
      <c r="E371" s="105"/>
      <c r="F371" s="105"/>
      <c r="G371" s="105"/>
      <c r="H371" s="105"/>
      <c r="I371" s="105"/>
      <c r="J371" s="105"/>
      <c r="K371" s="105"/>
      <c r="L371" s="105"/>
      <c r="M371" s="108"/>
      <c r="N371" s="108"/>
    </row>
    <row r="372" spans="2:14">
      <c r="B372" s="107"/>
      <c r="C372" s="105"/>
      <c r="D372" s="105"/>
      <c r="E372" s="105"/>
      <c r="F372" s="105"/>
      <c r="G372" s="105"/>
      <c r="H372" s="105"/>
      <c r="I372" s="105"/>
      <c r="J372" s="105"/>
      <c r="K372" s="105"/>
      <c r="L372" s="105"/>
      <c r="M372" s="108"/>
      <c r="N372" s="108"/>
    </row>
    <row r="373" spans="2:14">
      <c r="B373" s="107"/>
      <c r="C373" s="105"/>
      <c r="D373" s="105"/>
      <c r="E373" s="105"/>
      <c r="F373" s="105"/>
      <c r="G373" s="105"/>
      <c r="H373" s="105"/>
      <c r="I373" s="105"/>
      <c r="J373" s="105"/>
      <c r="K373" s="105"/>
      <c r="L373" s="105"/>
      <c r="M373" s="108"/>
      <c r="N373" s="108"/>
    </row>
    <row r="374" spans="2:14">
      <c r="B374" s="107"/>
      <c r="C374" s="105"/>
      <c r="D374" s="105"/>
      <c r="E374" s="105"/>
      <c r="F374" s="105"/>
      <c r="G374" s="105"/>
      <c r="H374" s="105"/>
      <c r="I374" s="105"/>
      <c r="J374" s="105"/>
      <c r="K374" s="105"/>
      <c r="L374" s="105"/>
      <c r="M374" s="108"/>
      <c r="N374" s="108"/>
    </row>
    <row r="375" spans="2:14">
      <c r="B375" s="107"/>
      <c r="C375" s="105"/>
      <c r="D375" s="105"/>
      <c r="E375" s="105"/>
      <c r="F375" s="105"/>
      <c r="G375" s="105"/>
      <c r="H375" s="105"/>
      <c r="I375" s="105"/>
      <c r="J375" s="105"/>
      <c r="K375" s="105"/>
      <c r="L375" s="105"/>
      <c r="M375" s="108"/>
      <c r="N375" s="108"/>
    </row>
    <row r="376" spans="2:14">
      <c r="B376" s="107"/>
      <c r="C376" s="105"/>
      <c r="D376" s="105"/>
      <c r="E376" s="105"/>
      <c r="F376" s="105"/>
      <c r="G376" s="105"/>
      <c r="H376" s="105"/>
      <c r="I376" s="105"/>
      <c r="J376" s="105"/>
      <c r="K376" s="105"/>
      <c r="L376" s="105"/>
      <c r="M376" s="108"/>
      <c r="N376" s="108"/>
    </row>
    <row r="377" spans="2:14">
      <c r="B377" s="107"/>
      <c r="C377" s="105"/>
      <c r="D377" s="105"/>
      <c r="E377" s="105"/>
      <c r="F377" s="105"/>
      <c r="G377" s="105"/>
      <c r="H377" s="105"/>
      <c r="I377" s="105"/>
      <c r="J377" s="105"/>
      <c r="K377" s="105"/>
      <c r="L377" s="105"/>
      <c r="M377" s="108"/>
      <c r="N377" s="108"/>
    </row>
    <row r="378" spans="2:14">
      <c r="B378" s="107"/>
      <c r="C378" s="105"/>
      <c r="D378" s="105"/>
      <c r="E378" s="105"/>
      <c r="F378" s="105"/>
      <c r="G378" s="105"/>
      <c r="H378" s="105"/>
      <c r="I378" s="105"/>
      <c r="J378" s="105"/>
      <c r="K378" s="105"/>
      <c r="L378" s="105"/>
      <c r="M378" s="108"/>
      <c r="N378" s="108"/>
    </row>
    <row r="379" spans="2:14">
      <c r="B379" s="107"/>
      <c r="C379" s="105"/>
      <c r="D379" s="105"/>
      <c r="E379" s="105"/>
      <c r="F379" s="105"/>
      <c r="G379" s="105"/>
      <c r="H379" s="105"/>
      <c r="I379" s="105"/>
      <c r="J379" s="105"/>
      <c r="K379" s="105"/>
      <c r="L379" s="105"/>
      <c r="M379" s="108"/>
      <c r="N379" s="108"/>
    </row>
    <row r="380" spans="2:14">
      <c r="B380" s="107"/>
      <c r="C380" s="105"/>
      <c r="D380" s="105"/>
      <c r="E380" s="105"/>
      <c r="F380" s="105"/>
      <c r="G380" s="105"/>
      <c r="H380" s="105"/>
      <c r="I380" s="105"/>
      <c r="J380" s="105"/>
      <c r="K380" s="105"/>
      <c r="L380" s="105"/>
      <c r="M380" s="108"/>
      <c r="N380" s="108"/>
    </row>
    <row r="381" spans="2:14">
      <c r="B381" s="107"/>
      <c r="C381" s="105"/>
      <c r="D381" s="105"/>
      <c r="E381" s="105"/>
      <c r="F381" s="105"/>
      <c r="G381" s="105"/>
      <c r="H381" s="105"/>
      <c r="I381" s="105"/>
      <c r="J381" s="105"/>
      <c r="K381" s="105"/>
      <c r="L381" s="105"/>
      <c r="M381" s="108"/>
      <c r="N381" s="108"/>
    </row>
    <row r="382" spans="2:14">
      <c r="B382" s="107"/>
      <c r="C382" s="105"/>
      <c r="D382" s="105"/>
      <c r="E382" s="105"/>
      <c r="F382" s="105"/>
      <c r="G382" s="105"/>
      <c r="H382" s="105"/>
      <c r="I382" s="105"/>
      <c r="J382" s="105"/>
      <c r="K382" s="105"/>
      <c r="L382" s="105"/>
      <c r="M382" s="108"/>
      <c r="N382" s="108"/>
    </row>
    <row r="383" spans="2:14">
      <c r="B383" s="107"/>
      <c r="C383" s="105"/>
      <c r="D383" s="105"/>
      <c r="E383" s="105"/>
      <c r="F383" s="105"/>
      <c r="G383" s="105"/>
      <c r="H383" s="105"/>
      <c r="I383" s="105"/>
      <c r="J383" s="105"/>
      <c r="K383" s="105"/>
      <c r="L383" s="105"/>
      <c r="M383" s="108"/>
      <c r="N383" s="108"/>
    </row>
    <row r="384" spans="2:14">
      <c r="B384" s="107"/>
      <c r="C384" s="105"/>
      <c r="D384" s="105"/>
      <c r="E384" s="105"/>
      <c r="F384" s="105"/>
      <c r="G384" s="105"/>
      <c r="H384" s="105"/>
      <c r="I384" s="105"/>
      <c r="J384" s="105"/>
      <c r="K384" s="105"/>
      <c r="L384" s="105"/>
      <c r="M384" s="108"/>
      <c r="N384" s="108"/>
    </row>
    <row r="385" spans="2:14">
      <c r="B385" s="107"/>
      <c r="C385" s="105"/>
      <c r="D385" s="105"/>
      <c r="E385" s="105"/>
      <c r="F385" s="105"/>
      <c r="G385" s="105"/>
      <c r="H385" s="105"/>
      <c r="I385" s="105"/>
      <c r="J385" s="105"/>
      <c r="K385" s="105"/>
      <c r="L385" s="105"/>
      <c r="M385" s="108"/>
      <c r="N385" s="108"/>
    </row>
    <row r="386" spans="2:14">
      <c r="B386" s="107"/>
      <c r="C386" s="105"/>
      <c r="D386" s="105"/>
      <c r="E386" s="105"/>
      <c r="F386" s="105"/>
      <c r="G386" s="105"/>
      <c r="H386" s="105"/>
      <c r="I386" s="105"/>
      <c r="J386" s="105"/>
      <c r="K386" s="105"/>
      <c r="L386" s="105"/>
      <c r="M386" s="108"/>
      <c r="N386" s="108"/>
    </row>
    <row r="387" spans="2:14">
      <c r="B387" s="107"/>
      <c r="C387" s="105"/>
      <c r="D387" s="105"/>
      <c r="E387" s="105"/>
      <c r="F387" s="105"/>
      <c r="G387" s="105"/>
      <c r="H387" s="105"/>
      <c r="I387" s="105"/>
      <c r="J387" s="105"/>
      <c r="K387" s="105"/>
      <c r="L387" s="105"/>
      <c r="M387" s="108"/>
      <c r="N387" s="108"/>
    </row>
    <row r="388" spans="2:14">
      <c r="B388" s="107"/>
      <c r="C388" s="105"/>
      <c r="D388" s="105"/>
      <c r="E388" s="105"/>
      <c r="F388" s="105"/>
      <c r="G388" s="105"/>
      <c r="H388" s="105"/>
      <c r="I388" s="105"/>
      <c r="J388" s="105"/>
      <c r="K388" s="105"/>
      <c r="L388" s="105"/>
      <c r="M388" s="108"/>
      <c r="N388" s="108"/>
    </row>
    <row r="389" spans="2:14">
      <c r="B389" s="107"/>
      <c r="C389" s="105"/>
      <c r="D389" s="105"/>
      <c r="E389" s="105"/>
      <c r="F389" s="105"/>
      <c r="G389" s="105"/>
      <c r="H389" s="105"/>
      <c r="I389" s="105"/>
      <c r="J389" s="105"/>
      <c r="K389" s="105"/>
      <c r="L389" s="105"/>
      <c r="M389" s="108"/>
      <c r="N389" s="108"/>
    </row>
    <row r="390" spans="2:14">
      <c r="B390" s="107"/>
      <c r="C390" s="105"/>
      <c r="D390" s="105"/>
      <c r="E390" s="105"/>
      <c r="F390" s="105"/>
      <c r="G390" s="105"/>
      <c r="H390" s="105"/>
      <c r="I390" s="105"/>
      <c r="J390" s="105"/>
      <c r="K390" s="105"/>
      <c r="L390" s="105"/>
      <c r="M390" s="108"/>
      <c r="N390" s="108"/>
    </row>
    <row r="391" spans="2:14">
      <c r="B391" s="107"/>
      <c r="C391" s="105"/>
      <c r="D391" s="105"/>
      <c r="E391" s="105"/>
      <c r="F391" s="105"/>
      <c r="G391" s="105"/>
      <c r="H391" s="105"/>
      <c r="I391" s="105"/>
      <c r="J391" s="105"/>
      <c r="K391" s="105"/>
      <c r="L391" s="105"/>
      <c r="M391" s="108"/>
      <c r="N391" s="108"/>
    </row>
    <row r="392" spans="2:14">
      <c r="B392" s="107"/>
      <c r="C392" s="105"/>
      <c r="D392" s="105"/>
      <c r="E392" s="105"/>
      <c r="F392" s="105"/>
      <c r="G392" s="105"/>
      <c r="H392" s="105"/>
      <c r="I392" s="105"/>
      <c r="J392" s="105"/>
      <c r="K392" s="105"/>
      <c r="L392" s="105"/>
      <c r="M392" s="108"/>
      <c r="N392" s="108"/>
    </row>
    <row r="393" spans="2:14">
      <c r="B393" s="107"/>
      <c r="C393" s="105"/>
      <c r="D393" s="105"/>
      <c r="E393" s="105"/>
      <c r="F393" s="105"/>
      <c r="G393" s="105"/>
      <c r="H393" s="105"/>
      <c r="I393" s="105"/>
      <c r="J393" s="105"/>
      <c r="K393" s="105"/>
      <c r="L393" s="105"/>
      <c r="M393" s="108"/>
      <c r="N393" s="108"/>
    </row>
    <row r="394" spans="2:14">
      <c r="B394" s="107"/>
      <c r="C394" s="105"/>
      <c r="D394" s="105"/>
      <c r="E394" s="105"/>
      <c r="F394" s="105"/>
      <c r="G394" s="105"/>
      <c r="H394" s="105"/>
      <c r="I394" s="105"/>
      <c r="J394" s="105"/>
      <c r="K394" s="105"/>
      <c r="L394" s="105"/>
      <c r="M394" s="108"/>
      <c r="N394" s="108"/>
    </row>
    <row r="395" spans="2:14">
      <c r="B395" s="107"/>
      <c r="C395" s="105"/>
      <c r="D395" s="105"/>
      <c r="E395" s="105"/>
      <c r="F395" s="105"/>
      <c r="G395" s="105"/>
      <c r="H395" s="105"/>
      <c r="I395" s="105"/>
      <c r="J395" s="105"/>
      <c r="K395" s="105"/>
      <c r="L395" s="105"/>
      <c r="M395" s="108"/>
      <c r="N395" s="108"/>
    </row>
    <row r="396" spans="2:14">
      <c r="B396" s="107"/>
      <c r="C396" s="105"/>
      <c r="D396" s="105"/>
      <c r="E396" s="105"/>
      <c r="F396" s="105"/>
      <c r="G396" s="105"/>
      <c r="H396" s="105"/>
      <c r="I396" s="105"/>
      <c r="J396" s="105"/>
      <c r="K396" s="105"/>
      <c r="L396" s="105"/>
      <c r="M396" s="108"/>
      <c r="N396" s="108"/>
    </row>
    <row r="397" spans="2:14">
      <c r="B397" s="107"/>
      <c r="C397" s="105"/>
      <c r="D397" s="105"/>
      <c r="E397" s="105"/>
      <c r="F397" s="105"/>
      <c r="G397" s="105"/>
      <c r="H397" s="105"/>
      <c r="I397" s="105"/>
      <c r="J397" s="105"/>
      <c r="K397" s="105"/>
      <c r="L397" s="105"/>
      <c r="M397" s="108"/>
      <c r="N397" s="108"/>
    </row>
    <row r="398" spans="2:14">
      <c r="B398" s="107"/>
      <c r="C398" s="105"/>
      <c r="D398" s="105"/>
      <c r="E398" s="105"/>
      <c r="F398" s="105"/>
      <c r="G398" s="105"/>
      <c r="H398" s="105"/>
      <c r="I398" s="105"/>
      <c r="J398" s="105"/>
      <c r="K398" s="105"/>
      <c r="L398" s="105"/>
      <c r="M398" s="108"/>
      <c r="N398" s="108"/>
    </row>
    <row r="399" spans="2:14">
      <c r="B399" s="107"/>
      <c r="C399" s="105"/>
      <c r="D399" s="105"/>
      <c r="E399" s="105"/>
      <c r="F399" s="105"/>
      <c r="G399" s="105"/>
      <c r="H399" s="105"/>
      <c r="I399" s="105"/>
      <c r="J399" s="105"/>
      <c r="K399" s="105"/>
      <c r="L399" s="105"/>
      <c r="M399" s="108"/>
      <c r="N399" s="108"/>
    </row>
    <row r="400" spans="2:14">
      <c r="B400" s="107"/>
      <c r="C400" s="105"/>
      <c r="D400" s="105"/>
      <c r="E400" s="105"/>
      <c r="F400" s="105"/>
      <c r="G400" s="105"/>
      <c r="H400" s="105"/>
      <c r="I400" s="105"/>
      <c r="J400" s="105"/>
      <c r="K400" s="105"/>
      <c r="L400" s="105"/>
      <c r="M400" s="108"/>
      <c r="N400" s="108"/>
    </row>
    <row r="401" spans="2:14">
      <c r="B401" s="107"/>
      <c r="C401" s="105"/>
      <c r="D401" s="105"/>
      <c r="E401" s="105"/>
      <c r="F401" s="105"/>
      <c r="G401" s="105"/>
      <c r="H401" s="105"/>
      <c r="I401" s="105"/>
      <c r="J401" s="105"/>
      <c r="K401" s="105"/>
      <c r="L401" s="105"/>
      <c r="M401" s="108"/>
      <c r="N401" s="108"/>
    </row>
    <row r="402" spans="2:14">
      <c r="B402" s="107"/>
      <c r="C402" s="105"/>
      <c r="D402" s="105"/>
      <c r="E402" s="105"/>
      <c r="F402" s="105"/>
      <c r="G402" s="105"/>
      <c r="H402" s="105"/>
      <c r="I402" s="105"/>
      <c r="J402" s="105"/>
      <c r="K402" s="105"/>
      <c r="L402" s="105"/>
      <c r="M402" s="108"/>
      <c r="N402" s="108"/>
    </row>
    <row r="403" spans="2:14">
      <c r="B403" s="107"/>
      <c r="C403" s="105"/>
      <c r="D403" s="105"/>
      <c r="E403" s="105"/>
      <c r="F403" s="105"/>
      <c r="G403" s="105"/>
      <c r="H403" s="105"/>
      <c r="I403" s="105"/>
      <c r="J403" s="105"/>
      <c r="K403" s="105"/>
      <c r="L403" s="105"/>
      <c r="M403" s="108"/>
      <c r="N403" s="108"/>
    </row>
    <row r="404" spans="2:14">
      <c r="B404" s="107"/>
      <c r="C404" s="105"/>
      <c r="D404" s="105"/>
      <c r="E404" s="105"/>
      <c r="F404" s="105"/>
      <c r="G404" s="105"/>
      <c r="H404" s="105"/>
      <c r="I404" s="105"/>
      <c r="J404" s="105"/>
      <c r="K404" s="105"/>
      <c r="L404" s="105"/>
      <c r="M404" s="108"/>
      <c r="N404" s="108"/>
    </row>
    <row r="405" spans="2:14">
      <c r="B405" s="107"/>
      <c r="C405" s="105"/>
      <c r="D405" s="105"/>
      <c r="E405" s="105"/>
      <c r="F405" s="105"/>
      <c r="G405" s="105"/>
      <c r="H405" s="105"/>
      <c r="I405" s="105"/>
      <c r="J405" s="105"/>
      <c r="K405" s="105"/>
      <c r="L405" s="105"/>
      <c r="M405" s="108"/>
      <c r="N405" s="108"/>
    </row>
    <row r="406" spans="2:14">
      <c r="B406" s="107"/>
      <c r="C406" s="105"/>
      <c r="D406" s="105"/>
      <c r="E406" s="105"/>
      <c r="F406" s="105"/>
      <c r="G406" s="105"/>
      <c r="H406" s="105"/>
      <c r="I406" s="105"/>
      <c r="J406" s="105"/>
      <c r="K406" s="105"/>
      <c r="L406" s="105"/>
      <c r="M406" s="108"/>
      <c r="N406" s="108"/>
    </row>
    <row r="407" spans="2:14">
      <c r="B407" s="107"/>
      <c r="C407" s="105"/>
      <c r="D407" s="105"/>
      <c r="E407" s="105"/>
      <c r="F407" s="105"/>
      <c r="G407" s="105"/>
      <c r="H407" s="105"/>
      <c r="I407" s="105"/>
      <c r="J407" s="105"/>
      <c r="K407" s="105"/>
      <c r="L407" s="105"/>
      <c r="M407" s="108"/>
      <c r="N407" s="108"/>
    </row>
    <row r="408" spans="2:14">
      <c r="B408" s="107"/>
      <c r="C408" s="105"/>
      <c r="D408" s="105"/>
      <c r="E408" s="105"/>
      <c r="F408" s="105"/>
      <c r="G408" s="105"/>
      <c r="H408" s="105"/>
      <c r="I408" s="105"/>
      <c r="J408" s="105"/>
      <c r="K408" s="105"/>
      <c r="L408" s="105"/>
      <c r="M408" s="108"/>
      <c r="N408" s="108"/>
    </row>
    <row r="409" spans="2:14">
      <c r="B409" s="107"/>
      <c r="C409" s="105"/>
      <c r="D409" s="105"/>
      <c r="E409" s="105"/>
      <c r="F409" s="105"/>
      <c r="G409" s="105"/>
      <c r="H409" s="105"/>
      <c r="I409" s="105"/>
      <c r="J409" s="105"/>
      <c r="K409" s="105"/>
      <c r="L409" s="105"/>
      <c r="M409" s="108"/>
      <c r="N409" s="108"/>
    </row>
    <row r="410" spans="2:14">
      <c r="B410" s="107"/>
      <c r="C410" s="105"/>
      <c r="D410" s="105"/>
      <c r="E410" s="105"/>
      <c r="F410" s="105"/>
      <c r="G410" s="105"/>
      <c r="H410" s="105"/>
      <c r="I410" s="105"/>
      <c r="J410" s="105"/>
      <c r="K410" s="105"/>
      <c r="L410" s="105"/>
      <c r="M410" s="108"/>
      <c r="N410" s="108"/>
    </row>
    <row r="411" spans="2:14">
      <c r="B411" s="107"/>
      <c r="C411" s="105"/>
      <c r="D411" s="105"/>
      <c r="E411" s="105"/>
      <c r="F411" s="105"/>
      <c r="G411" s="105"/>
      <c r="H411" s="105"/>
      <c r="I411" s="105"/>
      <c r="J411" s="105"/>
      <c r="K411" s="105"/>
      <c r="L411" s="105"/>
      <c r="M411" s="108"/>
      <c r="N411" s="108"/>
    </row>
    <row r="412" spans="2:14">
      <c r="B412" s="107"/>
      <c r="C412" s="105"/>
      <c r="D412" s="105"/>
      <c r="E412" s="105"/>
      <c r="F412" s="105"/>
      <c r="G412" s="105"/>
      <c r="H412" s="105"/>
      <c r="I412" s="105"/>
      <c r="J412" s="105"/>
      <c r="K412" s="105"/>
      <c r="L412" s="105"/>
      <c r="M412" s="108"/>
      <c r="N412" s="108"/>
    </row>
    <row r="413" spans="2:14">
      <c r="B413" s="107"/>
      <c r="C413" s="105"/>
      <c r="D413" s="105"/>
      <c r="E413" s="105"/>
      <c r="F413" s="105"/>
      <c r="G413" s="105"/>
      <c r="H413" s="105"/>
      <c r="I413" s="105"/>
      <c r="J413" s="105"/>
      <c r="K413" s="105"/>
      <c r="L413" s="105"/>
      <c r="M413" s="108"/>
      <c r="N413" s="108"/>
    </row>
    <row r="414" spans="2:14">
      <c r="B414" s="107"/>
      <c r="C414" s="105"/>
      <c r="D414" s="105"/>
      <c r="E414" s="105"/>
      <c r="F414" s="105"/>
      <c r="G414" s="105"/>
      <c r="H414" s="105"/>
      <c r="I414" s="105"/>
      <c r="J414" s="105"/>
      <c r="K414" s="105"/>
      <c r="L414" s="105"/>
      <c r="M414" s="108"/>
      <c r="N414" s="108"/>
    </row>
    <row r="415" spans="2:14">
      <c r="B415" s="107"/>
      <c r="C415" s="105"/>
      <c r="D415" s="105"/>
      <c r="E415" s="105"/>
      <c r="F415" s="105"/>
      <c r="G415" s="105"/>
      <c r="H415" s="105"/>
      <c r="I415" s="105"/>
      <c r="J415" s="105"/>
      <c r="K415" s="105"/>
      <c r="L415" s="105"/>
      <c r="M415" s="108"/>
      <c r="N415" s="108"/>
    </row>
    <row r="416" spans="2:14">
      <c r="B416" s="107"/>
      <c r="C416" s="105"/>
      <c r="D416" s="105"/>
      <c r="E416" s="105"/>
      <c r="F416" s="105"/>
      <c r="G416" s="105"/>
      <c r="H416" s="105"/>
      <c r="I416" s="105"/>
      <c r="J416" s="105"/>
      <c r="K416" s="105"/>
      <c r="L416" s="105"/>
      <c r="M416" s="108"/>
      <c r="N416" s="108"/>
    </row>
    <row r="417" spans="2:14">
      <c r="B417" s="107"/>
      <c r="C417" s="105"/>
      <c r="D417" s="105"/>
      <c r="E417" s="105"/>
      <c r="F417" s="105"/>
      <c r="G417" s="105"/>
      <c r="H417" s="105"/>
      <c r="I417" s="105"/>
      <c r="J417" s="105"/>
      <c r="K417" s="105"/>
      <c r="L417" s="105"/>
      <c r="M417" s="108"/>
      <c r="N417" s="108"/>
    </row>
    <row r="418" spans="2:14">
      <c r="B418" s="107"/>
      <c r="C418" s="105"/>
      <c r="D418" s="105"/>
      <c r="E418" s="105"/>
      <c r="F418" s="105"/>
      <c r="G418" s="105"/>
      <c r="H418" s="105"/>
      <c r="I418" s="105"/>
      <c r="J418" s="105"/>
      <c r="K418" s="105"/>
      <c r="L418" s="105"/>
      <c r="M418" s="108"/>
      <c r="N418" s="108"/>
    </row>
    <row r="419" spans="2:14">
      <c r="B419" s="107"/>
      <c r="C419" s="105"/>
      <c r="D419" s="105"/>
      <c r="E419" s="105"/>
      <c r="F419" s="105"/>
      <c r="G419" s="105"/>
      <c r="H419" s="105"/>
      <c r="I419" s="105"/>
      <c r="J419" s="105"/>
      <c r="K419" s="105"/>
      <c r="L419" s="105"/>
      <c r="M419" s="108"/>
      <c r="N419" s="108"/>
    </row>
    <row r="420" spans="2:14">
      <c r="B420" s="107"/>
      <c r="C420" s="105"/>
      <c r="D420" s="105"/>
      <c r="E420" s="105"/>
      <c r="F420" s="105"/>
      <c r="G420" s="105"/>
      <c r="H420" s="105"/>
      <c r="I420" s="105"/>
      <c r="J420" s="105"/>
      <c r="K420" s="105"/>
      <c r="L420" s="105"/>
      <c r="M420" s="108"/>
      <c r="N420" s="108"/>
    </row>
    <row r="421" spans="2:14">
      <c r="B421" s="107"/>
      <c r="C421" s="105"/>
      <c r="D421" s="105"/>
      <c r="E421" s="105"/>
      <c r="F421" s="105"/>
      <c r="G421" s="105"/>
      <c r="H421" s="105"/>
      <c r="I421" s="105"/>
      <c r="J421" s="105"/>
      <c r="K421" s="105"/>
      <c r="L421" s="105"/>
      <c r="M421" s="108"/>
      <c r="N421" s="108"/>
    </row>
    <row r="422" spans="2:14">
      <c r="B422" s="107"/>
      <c r="C422" s="105"/>
      <c r="D422" s="105"/>
      <c r="E422" s="105"/>
      <c r="F422" s="105"/>
      <c r="G422" s="105"/>
      <c r="H422" s="105"/>
      <c r="I422" s="105"/>
      <c r="J422" s="105"/>
      <c r="K422" s="105"/>
      <c r="L422" s="105"/>
      <c r="M422" s="108"/>
      <c r="N422" s="108"/>
    </row>
    <row r="423" spans="2:14">
      <c r="B423" s="107"/>
      <c r="C423" s="105"/>
      <c r="D423" s="105"/>
      <c r="E423" s="105"/>
      <c r="F423" s="105"/>
      <c r="G423" s="105"/>
      <c r="H423" s="105"/>
      <c r="I423" s="105"/>
      <c r="J423" s="105"/>
      <c r="K423" s="105"/>
      <c r="L423" s="105"/>
      <c r="M423" s="108"/>
      <c r="N423" s="108"/>
    </row>
    <row r="424" spans="2:14">
      <c r="B424" s="107"/>
      <c r="C424" s="105"/>
      <c r="D424" s="105"/>
      <c r="E424" s="105"/>
      <c r="F424" s="105"/>
      <c r="G424" s="105"/>
      <c r="H424" s="105"/>
      <c r="I424" s="105"/>
      <c r="J424" s="105"/>
      <c r="K424" s="105"/>
      <c r="L424" s="105"/>
      <c r="M424" s="108"/>
      <c r="N424" s="108"/>
    </row>
    <row r="425" spans="2:14">
      <c r="B425" s="107"/>
      <c r="C425" s="105"/>
      <c r="D425" s="105"/>
      <c r="E425" s="105"/>
      <c r="F425" s="105"/>
      <c r="G425" s="105"/>
      <c r="H425" s="105"/>
      <c r="I425" s="105"/>
      <c r="J425" s="105"/>
      <c r="K425" s="105"/>
      <c r="L425" s="105"/>
      <c r="M425" s="108"/>
      <c r="N425" s="108"/>
    </row>
    <row r="426" spans="2:14">
      <c r="B426" s="107"/>
      <c r="C426" s="105"/>
      <c r="D426" s="105"/>
      <c r="E426" s="105"/>
      <c r="F426" s="105"/>
      <c r="G426" s="105"/>
      <c r="H426" s="105"/>
      <c r="I426" s="105"/>
      <c r="J426" s="105"/>
      <c r="K426" s="105"/>
      <c r="L426" s="105"/>
      <c r="M426" s="108"/>
      <c r="N426" s="108"/>
    </row>
    <row r="427" spans="2:14">
      <c r="B427" s="107"/>
      <c r="C427" s="105"/>
      <c r="D427" s="105"/>
      <c r="E427" s="105"/>
      <c r="F427" s="105"/>
      <c r="G427" s="105"/>
      <c r="H427" s="105"/>
      <c r="I427" s="105"/>
      <c r="J427" s="105"/>
      <c r="K427" s="105"/>
      <c r="L427" s="105"/>
      <c r="M427" s="108"/>
      <c r="N427" s="108"/>
    </row>
    <row r="428" spans="2:14">
      <c r="B428" s="107"/>
      <c r="C428" s="105"/>
      <c r="D428" s="105"/>
      <c r="E428" s="105"/>
      <c r="F428" s="105"/>
      <c r="G428" s="105"/>
      <c r="H428" s="105"/>
      <c r="I428" s="105"/>
      <c r="J428" s="105"/>
      <c r="K428" s="105"/>
      <c r="L428" s="105"/>
      <c r="M428" s="108"/>
      <c r="N428" s="108"/>
    </row>
    <row r="429" spans="2:14">
      <c r="B429" s="107"/>
      <c r="C429" s="105"/>
      <c r="D429" s="105"/>
      <c r="E429" s="105"/>
      <c r="F429" s="105"/>
      <c r="G429" s="105"/>
      <c r="H429" s="105"/>
      <c r="I429" s="105"/>
      <c r="J429" s="105"/>
      <c r="K429" s="105"/>
      <c r="L429" s="105"/>
      <c r="M429" s="108"/>
      <c r="N429" s="108"/>
    </row>
    <row r="430" spans="2:14">
      <c r="B430" s="107"/>
      <c r="C430" s="105"/>
      <c r="D430" s="105"/>
      <c r="E430" s="105"/>
      <c r="F430" s="105"/>
      <c r="G430" s="105"/>
      <c r="H430" s="105"/>
      <c r="I430" s="105"/>
      <c r="J430" s="105"/>
      <c r="K430" s="105"/>
      <c r="L430" s="105"/>
      <c r="M430" s="108"/>
      <c r="N430" s="108"/>
    </row>
    <row r="431" spans="2:14">
      <c r="B431" s="107"/>
      <c r="C431" s="105"/>
      <c r="D431" s="105"/>
      <c r="E431" s="105"/>
      <c r="F431" s="105"/>
      <c r="G431" s="105"/>
      <c r="H431" s="105"/>
      <c r="I431" s="105"/>
      <c r="J431" s="105"/>
      <c r="K431" s="105"/>
      <c r="L431" s="105"/>
      <c r="M431" s="108"/>
      <c r="N431" s="108"/>
    </row>
    <row r="432" spans="2:14">
      <c r="B432" s="107"/>
      <c r="C432" s="105"/>
      <c r="D432" s="105"/>
      <c r="E432" s="105"/>
      <c r="F432" s="105"/>
      <c r="G432" s="105"/>
      <c r="H432" s="105"/>
      <c r="I432" s="105"/>
      <c r="J432" s="105"/>
      <c r="K432" s="105"/>
      <c r="L432" s="105"/>
      <c r="M432" s="108"/>
      <c r="N432" s="108"/>
    </row>
    <row r="433" spans="2:14">
      <c r="B433" s="107"/>
      <c r="C433" s="105"/>
      <c r="D433" s="105"/>
      <c r="E433" s="105"/>
      <c r="F433" s="105"/>
      <c r="G433" s="105"/>
      <c r="H433" s="105"/>
      <c r="I433" s="105"/>
      <c r="J433" s="105"/>
      <c r="K433" s="105"/>
      <c r="L433" s="105"/>
      <c r="M433" s="108"/>
      <c r="N433" s="108"/>
    </row>
    <row r="434" spans="2:14">
      <c r="B434" s="107"/>
      <c r="C434" s="105"/>
      <c r="D434" s="105"/>
      <c r="E434" s="105"/>
      <c r="F434" s="105"/>
      <c r="G434" s="105"/>
      <c r="H434" s="105"/>
      <c r="I434" s="105"/>
      <c r="J434" s="105"/>
      <c r="K434" s="105"/>
      <c r="L434" s="105"/>
      <c r="M434" s="108"/>
      <c r="N434" s="108"/>
    </row>
    <row r="435" spans="2:14">
      <c r="B435" s="107"/>
      <c r="C435" s="105"/>
      <c r="D435" s="105"/>
      <c r="E435" s="105"/>
      <c r="F435" s="105"/>
      <c r="G435" s="105"/>
      <c r="H435" s="105"/>
      <c r="I435" s="105"/>
      <c r="J435" s="105"/>
      <c r="K435" s="105"/>
      <c r="L435" s="105"/>
      <c r="M435" s="108"/>
      <c r="N435" s="108"/>
    </row>
    <row r="436" spans="2:14">
      <c r="B436" s="107"/>
      <c r="C436" s="105"/>
      <c r="D436" s="105"/>
      <c r="E436" s="105"/>
      <c r="F436" s="105"/>
      <c r="G436" s="105"/>
      <c r="H436" s="105"/>
      <c r="I436" s="105"/>
      <c r="J436" s="105"/>
      <c r="K436" s="105"/>
      <c r="L436" s="105"/>
      <c r="M436" s="108"/>
      <c r="N436" s="108"/>
    </row>
    <row r="437" spans="2:14">
      <c r="B437" s="107"/>
      <c r="C437" s="105"/>
      <c r="D437" s="105"/>
      <c r="E437" s="105"/>
      <c r="F437" s="105"/>
      <c r="G437" s="105"/>
      <c r="H437" s="105"/>
      <c r="I437" s="105"/>
      <c r="J437" s="105"/>
      <c r="K437" s="105"/>
      <c r="L437" s="105"/>
      <c r="M437" s="108"/>
      <c r="N437" s="108"/>
    </row>
    <row r="438" spans="2:14">
      <c r="B438" s="107"/>
      <c r="C438" s="105"/>
      <c r="D438" s="105"/>
      <c r="E438" s="105"/>
      <c r="F438" s="105"/>
      <c r="G438" s="105"/>
      <c r="H438" s="105"/>
      <c r="I438" s="105"/>
      <c r="J438" s="105"/>
      <c r="K438" s="105"/>
      <c r="L438" s="105"/>
      <c r="M438" s="108"/>
      <c r="N438" s="108"/>
    </row>
    <row r="439" spans="2:14">
      <c r="B439" s="107"/>
      <c r="C439" s="105"/>
      <c r="D439" s="105"/>
      <c r="E439" s="105"/>
      <c r="F439" s="105"/>
      <c r="G439" s="105"/>
      <c r="H439" s="105"/>
      <c r="I439" s="105"/>
      <c r="J439" s="105"/>
      <c r="K439" s="105"/>
      <c r="L439" s="105"/>
      <c r="M439" s="108"/>
      <c r="N439" s="108"/>
    </row>
    <row r="440" spans="2:14">
      <c r="B440" s="107"/>
      <c r="C440" s="105"/>
      <c r="D440" s="105"/>
      <c r="E440" s="105"/>
      <c r="F440" s="105"/>
      <c r="G440" s="105"/>
      <c r="H440" s="105"/>
      <c r="I440" s="105"/>
      <c r="J440" s="105"/>
      <c r="K440" s="105"/>
      <c r="L440" s="105"/>
      <c r="M440" s="108"/>
      <c r="N440" s="108"/>
    </row>
    <row r="441" spans="2:14">
      <c r="B441" s="107"/>
      <c r="C441" s="105"/>
      <c r="D441" s="105"/>
      <c r="E441" s="105"/>
      <c r="F441" s="105"/>
      <c r="G441" s="105"/>
      <c r="H441" s="105"/>
      <c r="I441" s="105"/>
      <c r="J441" s="105"/>
      <c r="K441" s="105"/>
      <c r="L441" s="105"/>
      <c r="M441" s="108"/>
      <c r="N441" s="108"/>
    </row>
    <row r="442" spans="2:14">
      <c r="B442" s="107"/>
      <c r="C442" s="105"/>
      <c r="D442" s="105"/>
      <c r="E442" s="105"/>
      <c r="F442" s="105"/>
      <c r="G442" s="105"/>
      <c r="H442" s="105"/>
      <c r="I442" s="105"/>
      <c r="J442" s="105"/>
      <c r="K442" s="105"/>
      <c r="L442" s="105"/>
      <c r="M442" s="108"/>
      <c r="N442" s="108"/>
    </row>
    <row r="443" spans="2:14">
      <c r="B443" s="107"/>
      <c r="C443" s="105"/>
      <c r="D443" s="105"/>
      <c r="E443" s="105"/>
      <c r="F443" s="105"/>
      <c r="G443" s="105"/>
      <c r="H443" s="105"/>
      <c r="I443" s="105"/>
      <c r="J443" s="105"/>
      <c r="K443" s="105"/>
      <c r="L443" s="105"/>
      <c r="M443" s="108"/>
      <c r="N443" s="108"/>
    </row>
    <row r="444" spans="2:14">
      <c r="B444" s="107"/>
      <c r="C444" s="105"/>
      <c r="D444" s="105"/>
      <c r="E444" s="105"/>
      <c r="F444" s="105"/>
      <c r="G444" s="105"/>
      <c r="H444" s="105"/>
      <c r="I444" s="105"/>
      <c r="J444" s="105"/>
      <c r="K444" s="105"/>
      <c r="L444" s="105"/>
      <c r="M444" s="108"/>
      <c r="N444" s="108"/>
    </row>
    <row r="445" spans="2:14">
      <c r="B445" s="107"/>
      <c r="C445" s="105"/>
      <c r="D445" s="105"/>
      <c r="E445" s="105"/>
      <c r="F445" s="105"/>
      <c r="G445" s="105"/>
      <c r="H445" s="105"/>
      <c r="I445" s="105"/>
      <c r="J445" s="105"/>
      <c r="K445" s="105"/>
      <c r="L445" s="105"/>
      <c r="M445" s="108"/>
      <c r="N445" s="108"/>
    </row>
    <row r="446" spans="2:14">
      <c r="B446" s="107"/>
      <c r="C446" s="105"/>
      <c r="D446" s="105"/>
      <c r="E446" s="105"/>
      <c r="F446" s="105"/>
      <c r="G446" s="105"/>
      <c r="H446" s="105"/>
      <c r="I446" s="105"/>
      <c r="J446" s="105"/>
      <c r="K446" s="105"/>
      <c r="L446" s="105"/>
      <c r="M446" s="108"/>
      <c r="N446" s="108"/>
    </row>
    <row r="447" spans="2:14">
      <c r="B447" s="107"/>
      <c r="C447" s="105"/>
      <c r="D447" s="105"/>
      <c r="E447" s="105"/>
      <c r="F447" s="105"/>
      <c r="G447" s="105"/>
      <c r="H447" s="105"/>
      <c r="I447" s="105"/>
      <c r="J447" s="105"/>
      <c r="K447" s="105"/>
      <c r="L447" s="105"/>
      <c r="M447" s="108"/>
      <c r="N447" s="108"/>
    </row>
    <row r="448" spans="2:14">
      <c r="B448" s="107"/>
      <c r="C448" s="105"/>
      <c r="D448" s="105"/>
      <c r="E448" s="105"/>
      <c r="F448" s="105"/>
      <c r="G448" s="105"/>
      <c r="H448" s="105"/>
      <c r="I448" s="105"/>
      <c r="J448" s="105"/>
      <c r="K448" s="105"/>
      <c r="L448" s="105"/>
      <c r="M448" s="108"/>
      <c r="N448" s="108"/>
    </row>
    <row r="449" spans="2:14">
      <c r="B449" s="107"/>
      <c r="C449" s="105"/>
      <c r="D449" s="105"/>
      <c r="E449" s="105"/>
      <c r="F449" s="105"/>
      <c r="G449" s="105"/>
      <c r="H449" s="105"/>
      <c r="I449" s="105"/>
      <c r="J449" s="105"/>
      <c r="K449" s="105"/>
      <c r="L449" s="105"/>
      <c r="M449" s="108"/>
      <c r="N449" s="108"/>
    </row>
    <row r="450" spans="2:14">
      <c r="B450" s="107"/>
      <c r="C450" s="105"/>
      <c r="D450" s="105"/>
      <c r="E450" s="105"/>
      <c r="F450" s="105"/>
      <c r="G450" s="105"/>
      <c r="H450" s="105"/>
      <c r="I450" s="105"/>
      <c r="J450" s="105"/>
      <c r="K450" s="105"/>
      <c r="L450" s="105"/>
      <c r="M450" s="108"/>
      <c r="N450" s="108"/>
    </row>
    <row r="451" spans="2:14">
      <c r="B451" s="107"/>
      <c r="C451" s="105"/>
      <c r="D451" s="105"/>
      <c r="E451" s="105"/>
      <c r="F451" s="105"/>
      <c r="G451" s="105"/>
      <c r="H451" s="105"/>
      <c r="I451" s="105"/>
      <c r="J451" s="105"/>
      <c r="K451" s="105"/>
      <c r="L451" s="105"/>
      <c r="M451" s="108"/>
      <c r="N451" s="108"/>
    </row>
    <row r="452" spans="2:14">
      <c r="B452" s="107"/>
      <c r="C452" s="105"/>
      <c r="D452" s="105"/>
      <c r="E452" s="105"/>
      <c r="F452" s="105"/>
      <c r="G452" s="105"/>
      <c r="H452" s="105"/>
      <c r="I452" s="105"/>
      <c r="J452" s="105"/>
      <c r="K452" s="105"/>
      <c r="L452" s="105"/>
      <c r="M452" s="108"/>
      <c r="N452" s="108"/>
    </row>
    <row r="453" spans="2:14">
      <c r="B453" s="107"/>
      <c r="C453" s="105"/>
      <c r="D453" s="105"/>
      <c r="E453" s="105"/>
      <c r="F453" s="105"/>
      <c r="G453" s="105"/>
      <c r="H453" s="105"/>
      <c r="I453" s="105"/>
      <c r="J453" s="105"/>
      <c r="K453" s="105"/>
      <c r="L453" s="105"/>
      <c r="M453" s="108"/>
      <c r="N453" s="108"/>
    </row>
    <row r="454" spans="2:14">
      <c r="B454" s="107"/>
      <c r="C454" s="105"/>
      <c r="D454" s="105"/>
      <c r="E454" s="105"/>
      <c r="F454" s="105"/>
      <c r="G454" s="105"/>
      <c r="H454" s="105"/>
      <c r="I454" s="105"/>
      <c r="J454" s="105"/>
      <c r="K454" s="105"/>
      <c r="L454" s="105"/>
      <c r="M454" s="108"/>
      <c r="N454" s="108"/>
    </row>
    <row r="455" spans="2:14">
      <c r="B455" s="107"/>
      <c r="C455" s="105"/>
      <c r="D455" s="105"/>
      <c r="E455" s="105"/>
      <c r="F455" s="105"/>
      <c r="G455" s="105"/>
      <c r="H455" s="105"/>
      <c r="I455" s="105"/>
      <c r="J455" s="105"/>
      <c r="K455" s="105"/>
      <c r="L455" s="105"/>
      <c r="M455" s="108"/>
      <c r="N455" s="108"/>
    </row>
    <row r="456" spans="2:14">
      <c r="B456" s="107"/>
      <c r="C456" s="105"/>
      <c r="D456" s="105"/>
      <c r="E456" s="105"/>
      <c r="F456" s="105"/>
      <c r="G456" s="105"/>
      <c r="H456" s="105"/>
      <c r="I456" s="105"/>
      <c r="J456" s="105"/>
      <c r="K456" s="105"/>
      <c r="L456" s="105"/>
      <c r="M456" s="108"/>
      <c r="N456" s="108"/>
    </row>
    <row r="457" spans="2:14">
      <c r="B457" s="107"/>
      <c r="C457" s="105"/>
      <c r="D457" s="105"/>
      <c r="E457" s="105"/>
      <c r="F457" s="105"/>
      <c r="G457" s="105"/>
      <c r="H457" s="105"/>
      <c r="I457" s="105"/>
      <c r="J457" s="105"/>
      <c r="K457" s="105"/>
      <c r="L457" s="105"/>
      <c r="M457" s="108"/>
      <c r="N457" s="108"/>
    </row>
    <row r="458" spans="2:14">
      <c r="B458" s="107"/>
      <c r="C458" s="105"/>
      <c r="D458" s="105"/>
      <c r="E458" s="105"/>
      <c r="F458" s="105"/>
      <c r="G458" s="105"/>
      <c r="H458" s="105"/>
      <c r="I458" s="105"/>
      <c r="J458" s="105"/>
      <c r="K458" s="105"/>
      <c r="L458" s="105"/>
      <c r="M458" s="108"/>
      <c r="N458" s="108"/>
    </row>
    <row r="459" spans="2:14">
      <c r="B459" s="107"/>
      <c r="C459" s="105"/>
      <c r="D459" s="105"/>
      <c r="E459" s="105"/>
      <c r="F459" s="105"/>
      <c r="G459" s="105"/>
      <c r="H459" s="105"/>
      <c r="I459" s="105"/>
      <c r="J459" s="105"/>
      <c r="K459" s="105"/>
      <c r="L459" s="105"/>
      <c r="M459" s="108"/>
      <c r="N459" s="108"/>
    </row>
    <row r="460" spans="2:14">
      <c r="B460" s="107"/>
      <c r="C460" s="105"/>
      <c r="D460" s="105"/>
      <c r="E460" s="105"/>
      <c r="F460" s="105"/>
      <c r="G460" s="105"/>
      <c r="H460" s="105"/>
      <c r="I460" s="105"/>
      <c r="J460" s="105"/>
      <c r="K460" s="105"/>
      <c r="L460" s="105"/>
      <c r="M460" s="108"/>
      <c r="N460" s="108"/>
    </row>
    <row r="461" spans="2:14">
      <c r="B461" s="107"/>
      <c r="C461" s="105"/>
      <c r="D461" s="105"/>
      <c r="E461" s="105"/>
      <c r="F461" s="105"/>
      <c r="G461" s="105"/>
      <c r="H461" s="105"/>
      <c r="I461" s="105"/>
      <c r="J461" s="105"/>
      <c r="K461" s="105"/>
      <c r="L461" s="105"/>
      <c r="M461" s="108"/>
      <c r="N461" s="108"/>
    </row>
    <row r="462" spans="2:14">
      <c r="B462" s="107"/>
      <c r="C462" s="105"/>
      <c r="D462" s="105"/>
      <c r="E462" s="105"/>
      <c r="F462" s="105"/>
      <c r="G462" s="105"/>
      <c r="H462" s="105"/>
      <c r="I462" s="105"/>
      <c r="J462" s="105"/>
      <c r="K462" s="105"/>
      <c r="L462" s="105"/>
      <c r="M462" s="108"/>
      <c r="N462" s="108"/>
    </row>
    <row r="463" spans="2:14">
      <c r="B463" s="107"/>
      <c r="C463" s="105"/>
      <c r="D463" s="105"/>
      <c r="E463" s="105"/>
      <c r="F463" s="105"/>
      <c r="G463" s="105"/>
      <c r="H463" s="105"/>
      <c r="I463" s="105"/>
      <c r="J463" s="105"/>
      <c r="K463" s="105"/>
      <c r="L463" s="105"/>
      <c r="M463" s="108"/>
      <c r="N463" s="108"/>
    </row>
    <row r="464" spans="2:14">
      <c r="B464" s="107"/>
      <c r="C464" s="105"/>
      <c r="D464" s="105"/>
      <c r="E464" s="105"/>
      <c r="F464" s="105"/>
      <c r="G464" s="105"/>
      <c r="H464" s="105"/>
      <c r="I464" s="105"/>
      <c r="J464" s="105"/>
      <c r="K464" s="105"/>
      <c r="L464" s="105"/>
      <c r="M464" s="108"/>
      <c r="N464" s="108"/>
    </row>
    <row r="465" spans="2:14">
      <c r="B465" s="107"/>
      <c r="C465" s="105"/>
      <c r="D465" s="105"/>
      <c r="E465" s="105"/>
      <c r="F465" s="105"/>
      <c r="G465" s="105"/>
      <c r="H465" s="105"/>
      <c r="I465" s="105"/>
      <c r="J465" s="105"/>
      <c r="K465" s="105"/>
      <c r="L465" s="105"/>
      <c r="M465" s="108"/>
      <c r="N465" s="108"/>
    </row>
    <row r="466" spans="2:14">
      <c r="B466" s="107"/>
      <c r="C466" s="105"/>
      <c r="D466" s="105"/>
      <c r="E466" s="105"/>
      <c r="F466" s="105"/>
      <c r="G466" s="105"/>
      <c r="H466" s="105"/>
      <c r="I466" s="105"/>
      <c r="J466" s="105"/>
      <c r="K466" s="105"/>
      <c r="L466" s="105"/>
      <c r="M466" s="108"/>
      <c r="N466" s="108"/>
    </row>
    <row r="467" spans="2:14">
      <c r="B467" s="107"/>
      <c r="C467" s="105"/>
      <c r="D467" s="105"/>
      <c r="E467" s="105"/>
      <c r="F467" s="105"/>
      <c r="G467" s="105"/>
      <c r="H467" s="105"/>
      <c r="I467" s="105"/>
      <c r="J467" s="105"/>
      <c r="K467" s="105"/>
      <c r="L467" s="105"/>
      <c r="M467" s="108"/>
      <c r="N467" s="108"/>
    </row>
    <row r="468" spans="2:14">
      <c r="B468" s="107"/>
      <c r="C468" s="105"/>
      <c r="D468" s="105"/>
      <c r="E468" s="105"/>
      <c r="F468" s="105"/>
      <c r="G468" s="105"/>
      <c r="H468" s="105"/>
      <c r="I468" s="105"/>
      <c r="J468" s="105"/>
      <c r="K468" s="105"/>
      <c r="L468" s="105"/>
      <c r="M468" s="108"/>
      <c r="N468" s="108"/>
    </row>
    <row r="469" spans="2:14">
      <c r="B469" s="107"/>
      <c r="C469" s="105"/>
      <c r="D469" s="105"/>
      <c r="E469" s="105"/>
      <c r="F469" s="105"/>
      <c r="G469" s="105"/>
      <c r="H469" s="105"/>
      <c r="I469" s="105"/>
      <c r="J469" s="105"/>
      <c r="K469" s="105"/>
      <c r="L469" s="105"/>
      <c r="M469" s="108"/>
      <c r="N469" s="108"/>
    </row>
    <row r="470" spans="2:14">
      <c r="B470" s="107"/>
      <c r="C470" s="105"/>
      <c r="D470" s="105"/>
      <c r="E470" s="105"/>
      <c r="F470" s="105"/>
      <c r="G470" s="105"/>
      <c r="H470" s="105"/>
      <c r="I470" s="105"/>
      <c r="J470" s="105"/>
      <c r="K470" s="105"/>
      <c r="L470" s="105"/>
      <c r="M470" s="108"/>
      <c r="N470" s="108"/>
    </row>
    <row r="471" spans="2:14">
      <c r="B471" s="107"/>
      <c r="C471" s="105"/>
      <c r="D471" s="105"/>
      <c r="E471" s="105"/>
      <c r="F471" s="105"/>
      <c r="G471" s="105"/>
      <c r="H471" s="105"/>
      <c r="I471" s="105"/>
      <c r="J471" s="105"/>
      <c r="K471" s="105"/>
      <c r="L471" s="105"/>
      <c r="M471" s="108"/>
      <c r="N471" s="108"/>
    </row>
    <row r="472" spans="2:14">
      <c r="B472" s="107"/>
      <c r="C472" s="105"/>
      <c r="D472" s="105"/>
      <c r="E472" s="105"/>
      <c r="F472" s="105"/>
      <c r="G472" s="105"/>
      <c r="H472" s="105"/>
      <c r="I472" s="105"/>
      <c r="J472" s="105"/>
      <c r="K472" s="105"/>
      <c r="L472" s="105"/>
      <c r="M472" s="108"/>
      <c r="N472" s="108"/>
    </row>
    <row r="473" spans="2:14">
      <c r="B473" s="107"/>
      <c r="C473" s="105"/>
      <c r="D473" s="105"/>
      <c r="E473" s="105"/>
      <c r="F473" s="105"/>
      <c r="G473" s="105"/>
      <c r="H473" s="105"/>
      <c r="I473" s="105"/>
      <c r="J473" s="105"/>
      <c r="K473" s="105"/>
      <c r="L473" s="105"/>
      <c r="M473" s="108"/>
      <c r="N473" s="108"/>
    </row>
    <row r="474" spans="2:14">
      <c r="B474" s="107"/>
      <c r="C474" s="105"/>
      <c r="D474" s="105"/>
      <c r="E474" s="105"/>
      <c r="F474" s="105"/>
      <c r="G474" s="105"/>
      <c r="H474" s="105"/>
      <c r="I474" s="105"/>
      <c r="J474" s="105"/>
      <c r="K474" s="105"/>
      <c r="L474" s="105"/>
      <c r="M474" s="108"/>
      <c r="N474" s="108"/>
    </row>
    <row r="475" spans="2:14">
      <c r="B475" s="107"/>
      <c r="C475" s="105"/>
      <c r="D475" s="105"/>
      <c r="E475" s="105"/>
      <c r="F475" s="105"/>
      <c r="G475" s="105"/>
      <c r="H475" s="105"/>
      <c r="I475" s="105"/>
      <c r="J475" s="105"/>
      <c r="K475" s="105"/>
      <c r="L475" s="105"/>
      <c r="M475" s="108"/>
      <c r="N475" s="108"/>
    </row>
    <row r="476" spans="2:14">
      <c r="B476" s="107"/>
      <c r="C476" s="105"/>
      <c r="D476" s="105"/>
      <c r="E476" s="105"/>
      <c r="F476" s="105"/>
      <c r="G476" s="105"/>
      <c r="H476" s="105"/>
      <c r="I476" s="105"/>
      <c r="J476" s="105"/>
      <c r="K476" s="105"/>
      <c r="L476" s="105"/>
      <c r="M476" s="108"/>
      <c r="N476" s="108"/>
    </row>
    <row r="477" spans="2:14">
      <c r="B477" s="107"/>
      <c r="C477" s="105"/>
      <c r="D477" s="105"/>
      <c r="E477" s="105"/>
      <c r="F477" s="105"/>
      <c r="G477" s="105"/>
      <c r="H477" s="105"/>
      <c r="I477" s="105"/>
      <c r="J477" s="105"/>
      <c r="K477" s="105"/>
      <c r="L477" s="105"/>
      <c r="M477" s="108"/>
      <c r="N477" s="108"/>
    </row>
    <row r="478" spans="2:14">
      <c r="B478" s="107"/>
      <c r="C478" s="105"/>
      <c r="D478" s="105"/>
      <c r="E478" s="105"/>
      <c r="F478" s="105"/>
      <c r="G478" s="105"/>
      <c r="H478" s="105"/>
      <c r="I478" s="105"/>
      <c r="J478" s="105"/>
      <c r="K478" s="105"/>
      <c r="L478" s="105"/>
      <c r="M478" s="108"/>
      <c r="N478" s="108"/>
    </row>
    <row r="479" spans="2:14">
      <c r="B479" s="107"/>
      <c r="C479" s="105"/>
      <c r="D479" s="105"/>
      <c r="E479" s="105"/>
      <c r="F479" s="105"/>
      <c r="G479" s="105"/>
      <c r="H479" s="105"/>
      <c r="I479" s="105"/>
      <c r="J479" s="105"/>
      <c r="K479" s="105"/>
      <c r="L479" s="105"/>
      <c r="M479" s="108"/>
      <c r="N479" s="108"/>
    </row>
    <row r="480" spans="2:14">
      <c r="B480" s="107"/>
      <c r="C480" s="105"/>
      <c r="D480" s="105"/>
      <c r="E480" s="105"/>
      <c r="F480" s="105"/>
      <c r="G480" s="105"/>
      <c r="H480" s="105"/>
      <c r="I480" s="105"/>
      <c r="J480" s="105"/>
      <c r="K480" s="105"/>
      <c r="L480" s="105"/>
      <c r="M480" s="108"/>
      <c r="N480" s="108"/>
    </row>
    <row r="481" spans="2:14">
      <c r="B481" s="107"/>
      <c r="C481" s="105"/>
      <c r="D481" s="105"/>
      <c r="E481" s="105"/>
      <c r="F481" s="105"/>
      <c r="G481" s="105"/>
      <c r="H481" s="105"/>
      <c r="I481" s="105"/>
      <c r="J481" s="105"/>
      <c r="K481" s="105"/>
      <c r="L481" s="105"/>
      <c r="M481" s="108"/>
      <c r="N481" s="108"/>
    </row>
    <row r="482" spans="2:14">
      <c r="B482" s="107"/>
      <c r="C482" s="105"/>
      <c r="D482" s="105"/>
      <c r="E482" s="105"/>
      <c r="F482" s="105"/>
      <c r="G482" s="105"/>
      <c r="H482" s="105"/>
      <c r="I482" s="105"/>
      <c r="J482" s="105"/>
      <c r="K482" s="105"/>
      <c r="L482" s="105"/>
      <c r="M482" s="108"/>
      <c r="N482" s="108"/>
    </row>
    <row r="483" spans="2:14">
      <c r="B483" s="107"/>
      <c r="C483" s="105"/>
      <c r="D483" s="105"/>
      <c r="E483" s="105"/>
      <c r="F483" s="105"/>
      <c r="G483" s="105"/>
      <c r="H483" s="105"/>
      <c r="I483" s="105"/>
      <c r="J483" s="105"/>
      <c r="K483" s="105"/>
      <c r="L483" s="105"/>
      <c r="M483" s="108"/>
      <c r="N483" s="108"/>
    </row>
    <row r="484" spans="2:14">
      <c r="B484" s="107"/>
      <c r="C484" s="105"/>
      <c r="D484" s="105"/>
      <c r="E484" s="105"/>
      <c r="F484" s="105"/>
      <c r="G484" s="105"/>
      <c r="H484" s="105"/>
      <c r="I484" s="105"/>
      <c r="J484" s="105"/>
      <c r="K484" s="105"/>
      <c r="L484" s="105"/>
      <c r="M484" s="108"/>
      <c r="N484" s="108"/>
    </row>
    <row r="485" spans="2:14">
      <c r="B485" s="107"/>
      <c r="C485" s="105"/>
      <c r="D485" s="105"/>
      <c r="E485" s="105"/>
      <c r="F485" s="105"/>
      <c r="G485" s="105"/>
      <c r="H485" s="105"/>
      <c r="I485" s="105"/>
      <c r="J485" s="105"/>
      <c r="K485" s="105"/>
      <c r="L485" s="105"/>
      <c r="M485" s="108"/>
      <c r="N485" s="108"/>
    </row>
    <row r="486" spans="2:14">
      <c r="B486" s="107"/>
      <c r="C486" s="105"/>
      <c r="D486" s="105"/>
      <c r="E486" s="105"/>
      <c r="F486" s="105"/>
      <c r="G486" s="105"/>
      <c r="H486" s="105"/>
      <c r="I486" s="105"/>
      <c r="J486" s="105"/>
      <c r="K486" s="105"/>
      <c r="L486" s="105"/>
      <c r="M486" s="108"/>
      <c r="N486" s="108"/>
    </row>
    <row r="487" spans="2:14">
      <c r="B487" s="107"/>
      <c r="C487" s="105"/>
      <c r="D487" s="105"/>
      <c r="E487" s="105"/>
      <c r="F487" s="105"/>
      <c r="G487" s="105"/>
      <c r="H487" s="105"/>
      <c r="I487" s="105"/>
      <c r="J487" s="105"/>
      <c r="K487" s="105"/>
      <c r="L487" s="105"/>
      <c r="M487" s="108"/>
      <c r="N487" s="108"/>
    </row>
    <row r="488" spans="2:14">
      <c r="B488" s="107"/>
      <c r="C488" s="105"/>
      <c r="D488" s="105"/>
      <c r="E488" s="105"/>
      <c r="F488" s="105"/>
      <c r="G488" s="105"/>
      <c r="H488" s="105"/>
      <c r="I488" s="105"/>
      <c r="J488" s="105"/>
      <c r="K488" s="105"/>
      <c r="L488" s="105"/>
      <c r="M488" s="108"/>
      <c r="N488" s="108"/>
    </row>
    <row r="489" spans="2:14">
      <c r="B489" s="107"/>
      <c r="C489" s="105"/>
      <c r="D489" s="105"/>
      <c r="E489" s="105"/>
      <c r="F489" s="105"/>
      <c r="G489" s="105"/>
      <c r="H489" s="105"/>
      <c r="I489" s="105"/>
      <c r="J489" s="105"/>
      <c r="K489" s="105"/>
      <c r="L489" s="105"/>
      <c r="M489" s="108"/>
      <c r="N489" s="108"/>
    </row>
    <row r="490" spans="2:14">
      <c r="B490" s="107"/>
      <c r="C490" s="105"/>
      <c r="D490" s="105"/>
      <c r="E490" s="105"/>
      <c r="F490" s="105"/>
      <c r="G490" s="105"/>
      <c r="H490" s="105"/>
      <c r="I490" s="105"/>
      <c r="J490" s="105"/>
      <c r="K490" s="105"/>
      <c r="L490" s="105"/>
      <c r="M490" s="108"/>
      <c r="N490" s="108"/>
    </row>
    <row r="491" spans="2:14">
      <c r="B491" s="107"/>
      <c r="C491" s="105"/>
      <c r="D491" s="105"/>
      <c r="E491" s="105"/>
      <c r="F491" s="105"/>
      <c r="G491" s="105"/>
      <c r="H491" s="105"/>
      <c r="I491" s="105"/>
      <c r="J491" s="105"/>
      <c r="K491" s="105"/>
      <c r="L491" s="105"/>
      <c r="M491" s="108"/>
      <c r="N491" s="108"/>
    </row>
    <row r="492" spans="2:14">
      <c r="B492" s="107"/>
      <c r="C492" s="105"/>
      <c r="D492" s="105"/>
      <c r="E492" s="105"/>
      <c r="F492" s="105"/>
      <c r="G492" s="105"/>
      <c r="H492" s="105"/>
      <c r="I492" s="105"/>
      <c r="J492" s="105"/>
      <c r="K492" s="105"/>
      <c r="L492" s="105"/>
      <c r="M492" s="108"/>
      <c r="N492" s="108"/>
    </row>
    <row r="493" spans="2:14">
      <c r="B493" s="107"/>
      <c r="C493" s="105"/>
      <c r="D493" s="105"/>
      <c r="E493" s="105"/>
      <c r="F493" s="105"/>
      <c r="G493" s="105"/>
      <c r="H493" s="105"/>
      <c r="I493" s="105"/>
      <c r="J493" s="105"/>
      <c r="K493" s="105"/>
      <c r="L493" s="105"/>
      <c r="M493" s="108"/>
      <c r="N493" s="108"/>
    </row>
    <row r="494" spans="2:14">
      <c r="B494" s="107"/>
      <c r="C494" s="105"/>
      <c r="D494" s="105"/>
      <c r="E494" s="105"/>
      <c r="F494" s="105"/>
      <c r="G494" s="105"/>
      <c r="H494" s="105"/>
      <c r="I494" s="105"/>
      <c r="J494" s="105"/>
      <c r="K494" s="105"/>
      <c r="L494" s="105"/>
      <c r="M494" s="108"/>
      <c r="N494" s="108"/>
    </row>
    <row r="495" spans="2:14">
      <c r="B495" s="107"/>
      <c r="C495" s="105"/>
      <c r="D495" s="105"/>
      <c r="E495" s="105"/>
      <c r="F495" s="105"/>
      <c r="G495" s="105"/>
      <c r="H495" s="105"/>
      <c r="I495" s="105"/>
      <c r="J495" s="105"/>
      <c r="K495" s="105"/>
      <c r="L495" s="105"/>
      <c r="M495" s="108"/>
      <c r="N495" s="108"/>
    </row>
    <row r="496" spans="2:14">
      <c r="B496" s="107"/>
      <c r="C496" s="105"/>
      <c r="D496" s="105"/>
      <c r="E496" s="105"/>
      <c r="F496" s="105"/>
      <c r="G496" s="105"/>
      <c r="H496" s="105"/>
      <c r="I496" s="105"/>
      <c r="J496" s="105"/>
      <c r="K496" s="105"/>
      <c r="L496" s="105"/>
      <c r="M496" s="108"/>
      <c r="N496" s="108"/>
    </row>
    <row r="497" spans="2:14">
      <c r="B497" s="107"/>
      <c r="C497" s="105"/>
      <c r="D497" s="105"/>
      <c r="E497" s="105"/>
      <c r="F497" s="105"/>
      <c r="G497" s="105"/>
      <c r="H497" s="105"/>
      <c r="I497" s="105"/>
      <c r="J497" s="105"/>
      <c r="K497" s="105"/>
      <c r="L497" s="105"/>
      <c r="M497" s="108"/>
      <c r="N497" s="108"/>
    </row>
    <row r="498" spans="2:14">
      <c r="B498" s="107"/>
      <c r="C498" s="105"/>
      <c r="D498" s="105"/>
      <c r="E498" s="105"/>
      <c r="F498" s="105"/>
      <c r="G498" s="105"/>
      <c r="H498" s="105"/>
      <c r="I498" s="105"/>
      <c r="J498" s="105"/>
      <c r="K498" s="105"/>
      <c r="L498" s="105"/>
      <c r="M498" s="108"/>
      <c r="N498" s="108"/>
    </row>
    <row r="499" spans="2:14">
      <c r="B499" s="107"/>
      <c r="C499" s="105"/>
      <c r="D499" s="105"/>
      <c r="E499" s="105"/>
      <c r="F499" s="105"/>
      <c r="G499" s="105"/>
      <c r="H499" s="105"/>
      <c r="I499" s="105"/>
      <c r="J499" s="105"/>
      <c r="K499" s="105"/>
      <c r="L499" s="105"/>
      <c r="M499" s="108"/>
      <c r="N499" s="108"/>
    </row>
    <row r="500" spans="2:14">
      <c r="B500" s="107"/>
      <c r="C500" s="105"/>
      <c r="D500" s="105"/>
      <c r="E500" s="105"/>
      <c r="F500" s="105"/>
      <c r="G500" s="105"/>
      <c r="H500" s="105"/>
      <c r="I500" s="105"/>
      <c r="J500" s="105"/>
      <c r="K500" s="105"/>
      <c r="L500" s="105"/>
      <c r="M500" s="108"/>
      <c r="N500" s="108"/>
    </row>
    <row r="501" spans="2:14">
      <c r="B501" s="107"/>
      <c r="C501" s="105"/>
      <c r="D501" s="105"/>
      <c r="E501" s="105"/>
      <c r="F501" s="105"/>
      <c r="G501" s="105"/>
      <c r="H501" s="105"/>
      <c r="I501" s="105"/>
      <c r="J501" s="105"/>
      <c r="K501" s="105"/>
      <c r="L501" s="105"/>
      <c r="M501" s="108"/>
      <c r="N501" s="108"/>
    </row>
    <row r="502" spans="2:14">
      <c r="B502" s="107"/>
      <c r="C502" s="105"/>
      <c r="D502" s="105"/>
      <c r="E502" s="105"/>
      <c r="F502" s="105"/>
      <c r="G502" s="105"/>
      <c r="H502" s="105"/>
      <c r="I502" s="105"/>
      <c r="J502" s="105"/>
      <c r="K502" s="105"/>
      <c r="L502" s="105"/>
      <c r="M502" s="108"/>
      <c r="N502" s="108"/>
    </row>
    <row r="503" spans="2:14">
      <c r="B503" s="107"/>
      <c r="C503" s="105"/>
      <c r="D503" s="105"/>
      <c r="E503" s="105"/>
      <c r="F503" s="105"/>
      <c r="G503" s="105"/>
      <c r="H503" s="105"/>
      <c r="I503" s="105"/>
      <c r="J503" s="105"/>
      <c r="K503" s="105"/>
      <c r="L503" s="105"/>
      <c r="M503" s="108"/>
      <c r="N503" s="108"/>
    </row>
    <row r="504" spans="2:14">
      <c r="B504" s="107"/>
      <c r="C504" s="105"/>
      <c r="D504" s="105"/>
      <c r="E504" s="105"/>
      <c r="F504" s="105"/>
      <c r="G504" s="105"/>
      <c r="H504" s="105"/>
      <c r="I504" s="105"/>
      <c r="J504" s="105"/>
      <c r="K504" s="105"/>
      <c r="L504" s="105"/>
      <c r="M504" s="108"/>
      <c r="N504" s="108"/>
    </row>
    <row r="505" spans="2:14">
      <c r="B505" s="107"/>
      <c r="C505" s="105"/>
      <c r="D505" s="105"/>
      <c r="E505" s="105"/>
      <c r="F505" s="105"/>
      <c r="G505" s="105"/>
      <c r="H505" s="105"/>
      <c r="I505" s="105"/>
      <c r="J505" s="105"/>
      <c r="K505" s="105"/>
      <c r="L505" s="105"/>
      <c r="M505" s="108"/>
      <c r="N505" s="108"/>
    </row>
    <row r="506" spans="2:14">
      <c r="B506" s="107"/>
      <c r="C506" s="105"/>
      <c r="D506" s="105"/>
      <c r="E506" s="105"/>
      <c r="F506" s="105"/>
      <c r="G506" s="105"/>
      <c r="H506" s="105"/>
      <c r="I506" s="105"/>
      <c r="J506" s="105"/>
      <c r="K506" s="105"/>
      <c r="L506" s="105"/>
      <c r="M506" s="108"/>
      <c r="N506" s="108"/>
    </row>
    <row r="507" spans="2:14">
      <c r="B507" s="107"/>
      <c r="C507" s="105"/>
      <c r="D507" s="105"/>
      <c r="E507" s="105"/>
      <c r="F507" s="105"/>
      <c r="G507" s="105"/>
      <c r="H507" s="105"/>
      <c r="I507" s="105"/>
      <c r="J507" s="105"/>
      <c r="K507" s="105"/>
      <c r="L507" s="105"/>
      <c r="M507" s="108"/>
      <c r="N507" s="108"/>
    </row>
    <row r="508" spans="2:14">
      <c r="B508" s="107"/>
      <c r="C508" s="105"/>
      <c r="D508" s="105"/>
      <c r="E508" s="105"/>
      <c r="F508" s="105"/>
      <c r="G508" s="105"/>
      <c r="H508" s="105"/>
      <c r="I508" s="105"/>
      <c r="J508" s="105"/>
      <c r="K508" s="105"/>
      <c r="L508" s="105"/>
      <c r="M508" s="108"/>
      <c r="N508" s="108"/>
    </row>
    <row r="509" spans="2:14">
      <c r="B509" s="107"/>
      <c r="C509" s="105"/>
      <c r="D509" s="105"/>
      <c r="E509" s="105"/>
      <c r="F509" s="105"/>
      <c r="G509" s="105"/>
      <c r="H509" s="105"/>
      <c r="I509" s="105"/>
      <c r="J509" s="105"/>
      <c r="K509" s="105"/>
      <c r="L509" s="105"/>
      <c r="M509" s="108"/>
      <c r="N509" s="108"/>
    </row>
    <row r="510" spans="2:14">
      <c r="B510" s="107"/>
      <c r="C510" s="105"/>
      <c r="D510" s="105"/>
      <c r="E510" s="105"/>
      <c r="F510" s="105"/>
      <c r="G510" s="105"/>
      <c r="H510" s="105"/>
      <c r="I510" s="105"/>
      <c r="J510" s="105"/>
      <c r="K510" s="105"/>
      <c r="L510" s="105"/>
      <c r="M510" s="108"/>
      <c r="N510" s="108"/>
    </row>
    <row r="511" spans="2:14">
      <c r="B511" s="107"/>
      <c r="C511" s="105"/>
      <c r="D511" s="105"/>
      <c r="E511" s="105"/>
      <c r="F511" s="105"/>
      <c r="G511" s="105"/>
      <c r="H511" s="105"/>
      <c r="I511" s="105"/>
      <c r="J511" s="105"/>
      <c r="K511" s="105"/>
      <c r="L511" s="105"/>
      <c r="M511" s="108"/>
      <c r="N511" s="108"/>
    </row>
    <row r="512" spans="2:14">
      <c r="B512" s="107"/>
      <c r="C512" s="105"/>
      <c r="D512" s="105"/>
      <c r="E512" s="105"/>
      <c r="F512" s="105"/>
      <c r="G512" s="105"/>
      <c r="H512" s="105"/>
      <c r="I512" s="105"/>
      <c r="J512" s="105"/>
      <c r="K512" s="105"/>
      <c r="L512" s="105"/>
      <c r="M512" s="108"/>
      <c r="N512" s="108"/>
    </row>
    <row r="513" spans="2:14">
      <c r="B513" s="107"/>
      <c r="C513" s="105"/>
      <c r="D513" s="105"/>
      <c r="E513" s="105"/>
      <c r="F513" s="105"/>
      <c r="G513" s="105"/>
      <c r="H513" s="105"/>
      <c r="I513" s="105"/>
      <c r="J513" s="105"/>
      <c r="K513" s="105"/>
      <c r="L513" s="105"/>
      <c r="M513" s="108"/>
      <c r="N513" s="108"/>
    </row>
    <row r="514" spans="2:14">
      <c r="B514" s="107"/>
      <c r="C514" s="105"/>
      <c r="D514" s="105"/>
      <c r="E514" s="105"/>
      <c r="F514" s="105"/>
      <c r="G514" s="105"/>
      <c r="H514" s="105"/>
      <c r="I514" s="105"/>
      <c r="J514" s="105"/>
      <c r="K514" s="105"/>
      <c r="L514" s="105"/>
      <c r="M514" s="108"/>
      <c r="N514" s="108"/>
    </row>
    <row r="515" spans="2:14">
      <c r="B515" s="107"/>
      <c r="C515" s="105"/>
      <c r="D515" s="105"/>
      <c r="E515" s="105"/>
      <c r="F515" s="105"/>
      <c r="G515" s="105"/>
      <c r="H515" s="105"/>
      <c r="I515" s="105"/>
      <c r="J515" s="105"/>
      <c r="K515" s="105"/>
      <c r="L515" s="105"/>
      <c r="M515" s="108"/>
      <c r="N515" s="108"/>
    </row>
    <row r="516" spans="2:14">
      <c r="B516" s="107"/>
      <c r="C516" s="105"/>
      <c r="D516" s="105"/>
      <c r="E516" s="105"/>
      <c r="F516" s="105"/>
      <c r="G516" s="105"/>
      <c r="H516" s="105"/>
      <c r="I516" s="105"/>
      <c r="J516" s="105"/>
      <c r="K516" s="105"/>
      <c r="L516" s="105"/>
      <c r="M516" s="108"/>
      <c r="N516" s="108"/>
    </row>
    <row r="517" spans="2:14">
      <c r="B517" s="107"/>
      <c r="C517" s="105"/>
      <c r="D517" s="105"/>
      <c r="E517" s="105"/>
      <c r="F517" s="105"/>
      <c r="G517" s="105"/>
      <c r="H517" s="105"/>
      <c r="I517" s="105"/>
      <c r="J517" s="105"/>
      <c r="K517" s="105"/>
      <c r="L517" s="105"/>
      <c r="M517" s="108"/>
      <c r="N517" s="108"/>
    </row>
    <row r="518" spans="2:14">
      <c r="B518" s="107"/>
      <c r="C518" s="105"/>
      <c r="D518" s="105"/>
      <c r="E518" s="105"/>
      <c r="F518" s="105"/>
      <c r="G518" s="105"/>
      <c r="H518" s="105"/>
      <c r="I518" s="105"/>
      <c r="J518" s="105"/>
      <c r="K518" s="105"/>
      <c r="L518" s="105"/>
    </row>
    <row r="519" spans="2:14">
      <c r="B519" s="107"/>
      <c r="C519" s="105"/>
      <c r="D519" s="105"/>
      <c r="E519" s="105"/>
      <c r="F519" s="105"/>
      <c r="G519" s="105"/>
      <c r="H519" s="105"/>
      <c r="I519" s="105"/>
      <c r="J519" s="105"/>
      <c r="K519" s="105"/>
      <c r="L519" s="105"/>
    </row>
    <row r="520" spans="2:14">
      <c r="B520" s="107"/>
      <c r="C520" s="105"/>
      <c r="D520" s="105"/>
      <c r="E520" s="105"/>
      <c r="F520" s="105"/>
      <c r="G520" s="105"/>
      <c r="H520" s="105"/>
      <c r="I520" s="105"/>
      <c r="J520" s="105"/>
      <c r="K520" s="105"/>
      <c r="L520" s="105"/>
    </row>
    <row r="521" spans="2:14">
      <c r="B521" s="107"/>
      <c r="C521" s="105"/>
      <c r="D521" s="105"/>
      <c r="E521" s="105"/>
      <c r="F521" s="105"/>
      <c r="G521" s="105"/>
      <c r="H521" s="105"/>
      <c r="I521" s="105"/>
      <c r="J521" s="105"/>
      <c r="K521" s="105"/>
      <c r="L521" s="105"/>
    </row>
    <row r="522" spans="2:14">
      <c r="B522" s="107"/>
      <c r="C522" s="105"/>
      <c r="D522" s="105"/>
      <c r="E522" s="105"/>
      <c r="F522" s="105"/>
      <c r="G522" s="105"/>
      <c r="H522" s="105"/>
      <c r="I522" s="105"/>
      <c r="J522" s="105"/>
      <c r="K522" s="105"/>
      <c r="L522" s="105"/>
    </row>
    <row r="523" spans="2:14">
      <c r="B523" s="107"/>
      <c r="C523" s="105"/>
      <c r="D523" s="105"/>
      <c r="E523" s="105"/>
      <c r="F523" s="105"/>
      <c r="G523" s="105"/>
      <c r="H523" s="105"/>
      <c r="I523" s="105"/>
      <c r="J523" s="105"/>
      <c r="K523" s="105"/>
      <c r="L523" s="105"/>
    </row>
    <row r="524" spans="2:14">
      <c r="B524" s="107"/>
      <c r="C524" s="105"/>
      <c r="D524" s="105"/>
      <c r="E524" s="105"/>
      <c r="F524" s="105"/>
      <c r="G524" s="105"/>
      <c r="H524" s="105"/>
      <c r="I524" s="105"/>
      <c r="J524" s="105"/>
      <c r="K524" s="105"/>
      <c r="L524" s="105"/>
    </row>
    <row r="525" spans="2:14">
      <c r="B525" s="107"/>
      <c r="C525" s="105"/>
      <c r="D525" s="105"/>
      <c r="E525" s="105"/>
      <c r="F525" s="105"/>
      <c r="G525" s="105"/>
      <c r="H525" s="105"/>
      <c r="I525" s="105"/>
      <c r="J525" s="105"/>
      <c r="K525" s="105"/>
      <c r="L525" s="105"/>
    </row>
    <row r="526" spans="2:14">
      <c r="B526" s="107"/>
      <c r="C526" s="105"/>
      <c r="D526" s="105"/>
      <c r="E526" s="105"/>
      <c r="F526" s="105"/>
      <c r="G526" s="105"/>
      <c r="H526" s="105"/>
      <c r="I526" s="105"/>
      <c r="J526" s="105"/>
      <c r="K526" s="105"/>
      <c r="L526" s="105"/>
    </row>
    <row r="527" spans="2:14">
      <c r="B527" s="107"/>
      <c r="C527" s="105"/>
      <c r="D527" s="105"/>
      <c r="E527" s="105"/>
      <c r="F527" s="105"/>
      <c r="G527" s="105"/>
      <c r="H527" s="105"/>
      <c r="I527" s="105"/>
      <c r="J527" s="105"/>
      <c r="K527" s="105"/>
      <c r="L527" s="105"/>
    </row>
    <row r="528" spans="2:14">
      <c r="B528" s="107"/>
      <c r="C528" s="105"/>
      <c r="D528" s="105"/>
      <c r="E528" s="105"/>
      <c r="F528" s="105"/>
      <c r="G528" s="105"/>
      <c r="H528" s="105"/>
      <c r="I528" s="105"/>
      <c r="J528" s="105"/>
      <c r="K528" s="105"/>
      <c r="L528" s="105"/>
    </row>
    <row r="529" spans="2:2" s="105" customFormat="1">
      <c r="B529" s="107"/>
    </row>
    <row r="530" spans="2:2" s="105" customFormat="1">
      <c r="B530" s="107"/>
    </row>
    <row r="531" spans="2:2" s="105" customFormat="1">
      <c r="B531" s="107"/>
    </row>
    <row r="532" spans="2:2" s="105" customFormat="1">
      <c r="B532" s="107"/>
    </row>
    <row r="533" spans="2:2" s="105" customFormat="1">
      <c r="B533" s="107"/>
    </row>
    <row r="534" spans="2:2" s="105" customFormat="1">
      <c r="B534" s="107"/>
    </row>
    <row r="535" spans="2:2" s="105" customFormat="1">
      <c r="B535" s="107"/>
    </row>
    <row r="536" spans="2:2" s="105" customFormat="1">
      <c r="B536" s="107"/>
    </row>
    <row r="537" spans="2:2" s="105" customFormat="1">
      <c r="B537" s="107"/>
    </row>
    <row r="538" spans="2:2" s="105" customFormat="1">
      <c r="B538" s="107"/>
    </row>
    <row r="539" spans="2:2" s="105" customFormat="1">
      <c r="B539" s="107"/>
    </row>
    <row r="540" spans="2:2" s="105" customFormat="1">
      <c r="B540" s="107"/>
    </row>
    <row r="541" spans="2:2" s="105" customFormat="1">
      <c r="B541" s="107"/>
    </row>
    <row r="542" spans="2:2" s="105" customFormat="1">
      <c r="B542" s="107"/>
    </row>
    <row r="543" spans="2:2" s="105" customFormat="1">
      <c r="B543" s="107"/>
    </row>
    <row r="544" spans="2:2" s="105" customFormat="1">
      <c r="B544" s="107"/>
    </row>
    <row r="545" spans="2:2" s="105" customFormat="1">
      <c r="B545" s="107"/>
    </row>
    <row r="546" spans="2:2" s="105" customFormat="1">
      <c r="B546" s="107"/>
    </row>
    <row r="547" spans="2:2" s="105" customFormat="1">
      <c r="B547" s="107"/>
    </row>
    <row r="548" spans="2:2" s="105" customFormat="1">
      <c r="B548" s="107"/>
    </row>
    <row r="549" spans="2:2" s="105" customFormat="1">
      <c r="B549" s="107"/>
    </row>
    <row r="550" spans="2:2" s="105" customFormat="1">
      <c r="B550" s="107"/>
    </row>
    <row r="551" spans="2:2" s="105" customFormat="1">
      <c r="B551" s="107"/>
    </row>
    <row r="552" spans="2:2" s="105" customFormat="1">
      <c r="B552" s="107"/>
    </row>
    <row r="553" spans="2:2" s="105" customFormat="1">
      <c r="B553" s="107"/>
    </row>
    <row r="554" spans="2:2" s="105" customFormat="1">
      <c r="B554" s="107"/>
    </row>
    <row r="555" spans="2:2" s="105" customFormat="1">
      <c r="B555" s="107"/>
    </row>
    <row r="556" spans="2:2" s="105" customFormat="1">
      <c r="B556" s="107"/>
    </row>
    <row r="557" spans="2:2" s="105" customFormat="1">
      <c r="B557" s="107"/>
    </row>
    <row r="558" spans="2:2" s="105" customFormat="1">
      <c r="B558" s="107"/>
    </row>
    <row r="559" spans="2:2" s="105" customFormat="1">
      <c r="B559" s="107"/>
    </row>
    <row r="560" spans="2:2" s="105" customFormat="1">
      <c r="B560" s="107"/>
    </row>
    <row r="561" spans="2:2" s="105" customFormat="1">
      <c r="B561" s="107"/>
    </row>
    <row r="562" spans="2:2" s="105" customFormat="1">
      <c r="B562" s="107"/>
    </row>
    <row r="563" spans="2:2" s="105" customFormat="1">
      <c r="B563" s="107"/>
    </row>
    <row r="564" spans="2:2" s="105" customFormat="1">
      <c r="B564" s="107"/>
    </row>
    <row r="565" spans="2:2" s="105" customFormat="1">
      <c r="B565" s="107"/>
    </row>
    <row r="566" spans="2:2" s="105" customFormat="1">
      <c r="B566" s="107"/>
    </row>
    <row r="567" spans="2:2" s="105" customFormat="1">
      <c r="B567" s="107"/>
    </row>
    <row r="568" spans="2:2" s="105" customFormat="1">
      <c r="B568" s="107"/>
    </row>
    <row r="569" spans="2:2" s="105" customFormat="1">
      <c r="B569" s="107"/>
    </row>
    <row r="570" spans="2:2" s="105" customFormat="1">
      <c r="B570" s="107"/>
    </row>
    <row r="571" spans="2:2" s="105" customFormat="1">
      <c r="B571" s="107"/>
    </row>
    <row r="572" spans="2:2" s="105" customFormat="1">
      <c r="B572" s="107"/>
    </row>
    <row r="573" spans="2:2" s="105" customFormat="1">
      <c r="B573" s="107"/>
    </row>
    <row r="574" spans="2:2" s="105" customFormat="1">
      <c r="B574" s="107"/>
    </row>
    <row r="575" spans="2:2" s="105" customFormat="1">
      <c r="B575" s="107"/>
    </row>
    <row r="576" spans="2:2" s="105" customFormat="1">
      <c r="B576" s="107"/>
    </row>
    <row r="577" spans="2:2" s="105" customFormat="1">
      <c r="B577" s="107"/>
    </row>
    <row r="578" spans="2:2" s="105" customFormat="1">
      <c r="B578" s="107"/>
    </row>
    <row r="579" spans="2:2" s="105" customFormat="1">
      <c r="B579" s="107"/>
    </row>
    <row r="580" spans="2:2" s="105" customFormat="1">
      <c r="B580" s="107"/>
    </row>
    <row r="581" spans="2:2" s="105" customFormat="1">
      <c r="B581" s="107"/>
    </row>
    <row r="582" spans="2:2" s="105" customFormat="1">
      <c r="B582" s="107"/>
    </row>
    <row r="583" spans="2:2" s="105" customFormat="1">
      <c r="B583" s="107"/>
    </row>
    <row r="584" spans="2:2" s="105" customFormat="1">
      <c r="B584" s="107"/>
    </row>
    <row r="585" spans="2:2" s="105" customFormat="1">
      <c r="B585" s="107"/>
    </row>
    <row r="586" spans="2:2" s="105" customFormat="1">
      <c r="B586" s="107"/>
    </row>
    <row r="587" spans="2:2" s="105" customFormat="1">
      <c r="B587" s="107"/>
    </row>
    <row r="588" spans="2:2" s="105" customFormat="1">
      <c r="B588" s="107"/>
    </row>
    <row r="589" spans="2:2" s="105" customFormat="1">
      <c r="B589" s="107"/>
    </row>
    <row r="590" spans="2:2" s="105" customFormat="1">
      <c r="B590" s="107"/>
    </row>
    <row r="591" spans="2:2" s="105" customFormat="1">
      <c r="B591" s="107"/>
    </row>
    <row r="592" spans="2:2" s="105" customFormat="1">
      <c r="B592" s="107"/>
    </row>
    <row r="593" spans="2:2" s="105" customFormat="1">
      <c r="B593" s="107"/>
    </row>
    <row r="594" spans="2:2" s="105" customFormat="1">
      <c r="B594" s="107"/>
    </row>
    <row r="595" spans="2:2" s="105" customFormat="1">
      <c r="B595" s="107"/>
    </row>
    <row r="596" spans="2:2" s="105" customFormat="1">
      <c r="B596" s="107"/>
    </row>
    <row r="597" spans="2:2" s="105" customFormat="1">
      <c r="B597" s="107"/>
    </row>
    <row r="598" spans="2:2" s="105" customFormat="1">
      <c r="B598" s="107"/>
    </row>
    <row r="599" spans="2:2" s="105" customFormat="1">
      <c r="B599" s="107"/>
    </row>
    <row r="600" spans="2:2" s="105" customFormat="1">
      <c r="B600" s="107"/>
    </row>
    <row r="601" spans="2:2" s="105" customFormat="1">
      <c r="B601" s="107"/>
    </row>
    <row r="602" spans="2:2" s="105" customFormat="1">
      <c r="B602" s="107"/>
    </row>
    <row r="603" spans="2:2" s="105" customFormat="1">
      <c r="B603" s="107"/>
    </row>
    <row r="604" spans="2:2" s="105" customFormat="1">
      <c r="B604" s="107"/>
    </row>
    <row r="605" spans="2:2" s="105" customFormat="1">
      <c r="B605" s="107"/>
    </row>
    <row r="606" spans="2:2" s="105" customFormat="1">
      <c r="B606" s="107"/>
    </row>
    <row r="607" spans="2:2" s="105" customFormat="1">
      <c r="B607" s="107"/>
    </row>
    <row r="608" spans="2:2" s="105" customFormat="1">
      <c r="B608" s="107"/>
    </row>
    <row r="609" spans="2:2" s="105" customFormat="1">
      <c r="B609" s="107"/>
    </row>
    <row r="610" spans="2:2" s="105" customFormat="1">
      <c r="B610" s="107"/>
    </row>
    <row r="611" spans="2:2" s="105" customFormat="1">
      <c r="B611" s="107"/>
    </row>
    <row r="612" spans="2:2" s="105" customFormat="1">
      <c r="B612" s="107"/>
    </row>
    <row r="613" spans="2:2" s="105" customFormat="1">
      <c r="B613" s="107"/>
    </row>
    <row r="614" spans="2:2" s="105" customFormat="1">
      <c r="B614" s="107"/>
    </row>
    <row r="615" spans="2:2" s="105" customFormat="1">
      <c r="B615" s="107"/>
    </row>
    <row r="616" spans="2:2" s="105" customFormat="1">
      <c r="B616" s="107"/>
    </row>
    <row r="617" spans="2:2" s="105" customFormat="1">
      <c r="B617" s="107"/>
    </row>
    <row r="618" spans="2:2" s="105" customFormat="1">
      <c r="B618" s="107"/>
    </row>
    <row r="619" spans="2:2" s="105" customFormat="1">
      <c r="B619" s="107"/>
    </row>
    <row r="620" spans="2:2" s="105" customFormat="1">
      <c r="B620" s="107"/>
    </row>
    <row r="621" spans="2:2" s="105" customFormat="1">
      <c r="B621" s="107"/>
    </row>
    <row r="622" spans="2:2" s="105" customFormat="1">
      <c r="B622" s="107"/>
    </row>
    <row r="623" spans="2:2" s="105" customFormat="1">
      <c r="B623" s="107"/>
    </row>
    <row r="624" spans="2:2" s="105" customFormat="1">
      <c r="B624" s="107"/>
    </row>
    <row r="625" spans="2:2" s="105" customFormat="1">
      <c r="B625" s="107"/>
    </row>
    <row r="626" spans="2:2" s="105" customFormat="1">
      <c r="B626" s="107"/>
    </row>
    <row r="627" spans="2:2" s="105" customFormat="1">
      <c r="B627" s="107"/>
    </row>
    <row r="628" spans="2:2" s="105" customFormat="1">
      <c r="B628" s="107"/>
    </row>
    <row r="629" spans="2:2" s="105" customFormat="1">
      <c r="B629" s="107"/>
    </row>
    <row r="630" spans="2:2" s="105" customFormat="1">
      <c r="B630" s="107"/>
    </row>
    <row r="631" spans="2:2" s="105" customFormat="1">
      <c r="B631" s="107"/>
    </row>
    <row r="632" spans="2:2" s="105" customFormat="1">
      <c r="B632" s="107"/>
    </row>
    <row r="633" spans="2:2" s="105" customFormat="1">
      <c r="B633" s="107"/>
    </row>
    <row r="634" spans="2:2" s="105" customFormat="1">
      <c r="B634" s="107"/>
    </row>
    <row r="635" spans="2:2" s="105" customFormat="1">
      <c r="B635" s="107"/>
    </row>
    <row r="636" spans="2:2" s="105" customFormat="1">
      <c r="B636" s="107"/>
    </row>
    <row r="637" spans="2:2" s="105" customFormat="1">
      <c r="B637" s="107"/>
    </row>
    <row r="638" spans="2:2" s="105" customFormat="1">
      <c r="B638" s="107"/>
    </row>
    <row r="639" spans="2:2" s="105" customFormat="1">
      <c r="B639" s="107"/>
    </row>
    <row r="640" spans="2:2" s="105" customFormat="1">
      <c r="B640" s="107"/>
    </row>
    <row r="641" spans="2:2" s="105" customFormat="1">
      <c r="B641" s="107"/>
    </row>
    <row r="642" spans="2:2" s="105" customFormat="1">
      <c r="B642" s="107"/>
    </row>
    <row r="643" spans="2:2" s="105" customFormat="1">
      <c r="B643" s="107"/>
    </row>
    <row r="644" spans="2:2" s="105" customFormat="1">
      <c r="B644" s="107"/>
    </row>
    <row r="645" spans="2:2" s="105" customFormat="1">
      <c r="B645" s="107"/>
    </row>
    <row r="646" spans="2:2" s="105" customFormat="1">
      <c r="B646" s="107"/>
    </row>
    <row r="647" spans="2:2" s="105" customFormat="1">
      <c r="B647" s="107"/>
    </row>
    <row r="648" spans="2:2" s="105" customFormat="1">
      <c r="B648" s="107"/>
    </row>
    <row r="649" spans="2:2" s="105" customFormat="1">
      <c r="B649" s="107"/>
    </row>
    <row r="650" spans="2:2" s="105" customFormat="1">
      <c r="B650" s="107"/>
    </row>
    <row r="651" spans="2:2" s="105" customFormat="1">
      <c r="B651" s="107"/>
    </row>
    <row r="652" spans="2:2" s="105" customFormat="1">
      <c r="B652" s="107"/>
    </row>
    <row r="653" spans="2:2" s="105" customFormat="1">
      <c r="B653" s="107"/>
    </row>
    <row r="654" spans="2:2" s="105" customFormat="1">
      <c r="B654" s="107"/>
    </row>
    <row r="655" spans="2:2" s="105" customFormat="1">
      <c r="B655" s="107"/>
    </row>
    <row r="656" spans="2:2" s="105" customFormat="1">
      <c r="B656" s="107"/>
    </row>
    <row r="657" spans="2:2" s="105" customFormat="1">
      <c r="B657" s="107"/>
    </row>
    <row r="658" spans="2:2" s="105" customFormat="1">
      <c r="B658" s="107"/>
    </row>
    <row r="659" spans="2:2" s="105" customFormat="1">
      <c r="B659" s="107"/>
    </row>
    <row r="660" spans="2:2" s="105" customFormat="1">
      <c r="B660" s="107"/>
    </row>
    <row r="661" spans="2:2" s="105" customFormat="1">
      <c r="B661" s="107"/>
    </row>
    <row r="662" spans="2:2" s="105" customFormat="1">
      <c r="B662" s="107"/>
    </row>
    <row r="663" spans="2:2" s="105" customFormat="1">
      <c r="B663" s="107"/>
    </row>
    <row r="664" spans="2:2" s="105" customFormat="1">
      <c r="B664" s="107"/>
    </row>
    <row r="665" spans="2:2" s="105" customFormat="1">
      <c r="B665" s="107"/>
    </row>
    <row r="666" spans="2:2" s="105" customFormat="1">
      <c r="B666" s="107"/>
    </row>
    <row r="667" spans="2:2" s="105" customFormat="1">
      <c r="B667" s="107"/>
    </row>
    <row r="668" spans="2:2" s="105" customFormat="1">
      <c r="B668" s="107"/>
    </row>
    <row r="669" spans="2:2" s="105" customFormat="1">
      <c r="B669" s="107"/>
    </row>
    <row r="670" spans="2:2" s="105" customFormat="1">
      <c r="B670" s="107"/>
    </row>
    <row r="671" spans="2:2" s="105" customFormat="1">
      <c r="B671" s="107"/>
    </row>
    <row r="672" spans="2:2" s="105" customFormat="1">
      <c r="B672" s="107"/>
    </row>
    <row r="673" spans="2:2" s="105" customFormat="1">
      <c r="B673" s="107"/>
    </row>
    <row r="674" spans="2:2" s="105" customFormat="1">
      <c r="B674" s="107"/>
    </row>
    <row r="675" spans="2:2" s="105" customFormat="1">
      <c r="B675" s="107"/>
    </row>
    <row r="676" spans="2:2" s="105" customFormat="1">
      <c r="B676" s="107"/>
    </row>
    <row r="677" spans="2:2" s="105" customFormat="1">
      <c r="B677" s="107"/>
    </row>
    <row r="678" spans="2:2" s="105" customFormat="1">
      <c r="B678" s="107"/>
    </row>
    <row r="679" spans="2:2" s="105" customFormat="1">
      <c r="B679" s="107"/>
    </row>
    <row r="680" spans="2:2" s="105" customFormat="1">
      <c r="B680" s="107"/>
    </row>
    <row r="681" spans="2:2" s="105" customFormat="1">
      <c r="B681" s="107"/>
    </row>
    <row r="682" spans="2:2" s="105" customFormat="1">
      <c r="B682" s="107"/>
    </row>
    <row r="683" spans="2:2" s="105" customFormat="1">
      <c r="B683" s="107"/>
    </row>
    <row r="684" spans="2:2" s="105" customFormat="1">
      <c r="B684" s="107"/>
    </row>
    <row r="685" spans="2:2" s="105" customFormat="1">
      <c r="B685" s="107"/>
    </row>
    <row r="686" spans="2:2" s="105" customFormat="1">
      <c r="B686" s="107"/>
    </row>
    <row r="687" spans="2:2" s="105" customFormat="1">
      <c r="B687" s="107"/>
    </row>
    <row r="688" spans="2:2" s="105" customFormat="1">
      <c r="B688" s="107"/>
    </row>
    <row r="689" spans="2:2" s="105" customFormat="1">
      <c r="B689" s="107"/>
    </row>
    <row r="690" spans="2:2" s="105" customFormat="1">
      <c r="B690" s="107"/>
    </row>
    <row r="691" spans="2:2" s="105" customFormat="1">
      <c r="B691" s="107"/>
    </row>
    <row r="692" spans="2:2" s="105" customFormat="1">
      <c r="B692" s="107"/>
    </row>
    <row r="693" spans="2:2" s="105" customFormat="1">
      <c r="B693" s="107"/>
    </row>
    <row r="694" spans="2:2" s="105" customFormat="1">
      <c r="B694" s="107"/>
    </row>
    <row r="695" spans="2:2" s="105" customFormat="1">
      <c r="B695" s="107"/>
    </row>
    <row r="696" spans="2:2" s="105" customFormat="1">
      <c r="B696" s="107"/>
    </row>
    <row r="697" spans="2:2" s="105" customFormat="1">
      <c r="B697" s="107"/>
    </row>
    <row r="698" spans="2:2" s="105" customFormat="1">
      <c r="B698" s="107"/>
    </row>
    <row r="699" spans="2:2" s="105" customFormat="1">
      <c r="B699" s="107"/>
    </row>
    <row r="700" spans="2:2" s="105" customFormat="1">
      <c r="B700" s="107"/>
    </row>
    <row r="701" spans="2:2" s="105" customFormat="1">
      <c r="B701" s="107"/>
    </row>
    <row r="702" spans="2:2" s="105" customFormat="1">
      <c r="B702" s="107"/>
    </row>
    <row r="703" spans="2:2" s="105" customFormat="1">
      <c r="B703" s="107"/>
    </row>
    <row r="704" spans="2:2" s="105" customFormat="1">
      <c r="B704" s="107"/>
    </row>
    <row r="705" spans="2:2" s="105" customFormat="1">
      <c r="B705" s="107"/>
    </row>
    <row r="706" spans="2:2" s="105" customFormat="1">
      <c r="B706" s="107"/>
    </row>
    <row r="707" spans="2:2" s="105" customFormat="1">
      <c r="B707" s="107"/>
    </row>
    <row r="708" spans="2:2" s="105" customFormat="1">
      <c r="B708" s="107"/>
    </row>
    <row r="709" spans="2:2" s="105" customFormat="1">
      <c r="B709" s="107"/>
    </row>
    <row r="710" spans="2:2" s="105" customFormat="1">
      <c r="B710" s="107"/>
    </row>
    <row r="711" spans="2:2" s="105" customFormat="1">
      <c r="B711" s="107"/>
    </row>
    <row r="712" spans="2:2" s="105" customFormat="1">
      <c r="B712" s="107"/>
    </row>
    <row r="713" spans="2:2" s="105" customFormat="1">
      <c r="B713" s="107"/>
    </row>
    <row r="714" spans="2:2" s="105" customFormat="1">
      <c r="B714" s="107"/>
    </row>
    <row r="715" spans="2:2" s="105" customFormat="1">
      <c r="B715" s="107"/>
    </row>
    <row r="716" spans="2:2" s="105" customFormat="1">
      <c r="B716" s="107"/>
    </row>
    <row r="717" spans="2:2" s="105" customFormat="1">
      <c r="B717" s="107"/>
    </row>
    <row r="718" spans="2:2" s="105" customFormat="1">
      <c r="B718" s="107"/>
    </row>
    <row r="719" spans="2:2" s="105" customFormat="1">
      <c r="B719" s="107"/>
    </row>
    <row r="720" spans="2:2" s="105" customFormat="1">
      <c r="B720" s="107"/>
    </row>
    <row r="721" spans="2:5" s="105" customFormat="1">
      <c r="B721" s="107"/>
    </row>
    <row r="722" spans="2:5" s="105" customFormat="1">
      <c r="B722" s="107"/>
    </row>
    <row r="723" spans="2:5" s="105" customFormat="1">
      <c r="B723" s="107"/>
    </row>
    <row r="724" spans="2:5" s="105" customFormat="1">
      <c r="B724" s="107"/>
    </row>
    <row r="725" spans="2:5" s="105" customFormat="1">
      <c r="B725" s="107"/>
    </row>
    <row r="726" spans="2:5" s="105" customFormat="1">
      <c r="B726" s="107"/>
    </row>
    <row r="727" spans="2:5" s="105" customFormat="1">
      <c r="B727" s="107"/>
    </row>
    <row r="728" spans="2:5" s="105" customFormat="1">
      <c r="B728" s="107"/>
    </row>
    <row r="729" spans="2:5" s="105" customFormat="1">
      <c r="B729" s="107"/>
    </row>
    <row r="730" spans="2:5" s="105" customFormat="1">
      <c r="B730" s="107"/>
    </row>
    <row r="731" spans="2:5" s="105" customFormat="1">
      <c r="B731" s="107"/>
      <c r="E731" s="105">
        <v>0</v>
      </c>
    </row>
    <row r="732" spans="2:5" s="105" customFormat="1">
      <c r="B732" s="107"/>
    </row>
    <row r="733" spans="2:5" s="105" customFormat="1">
      <c r="B733" s="107"/>
    </row>
    <row r="734" spans="2:5" s="105" customFormat="1">
      <c r="B734" s="107"/>
    </row>
    <row r="735" spans="2:5" s="105" customFormat="1">
      <c r="B735" s="107"/>
    </row>
    <row r="736" spans="2:5" s="105" customFormat="1">
      <c r="B736" s="107"/>
    </row>
    <row r="737" spans="2:2" s="105" customFormat="1">
      <c r="B737" s="107"/>
    </row>
    <row r="738" spans="2:2" s="105" customFormat="1">
      <c r="B738" s="107"/>
    </row>
    <row r="739" spans="2:2" s="105" customFormat="1">
      <c r="B739" s="107"/>
    </row>
    <row r="740" spans="2:2" s="105" customFormat="1">
      <c r="B740" s="107"/>
    </row>
    <row r="741" spans="2:2" s="105" customFormat="1">
      <c r="B741" s="107"/>
    </row>
    <row r="742" spans="2:2" s="105" customFormat="1">
      <c r="B742" s="107"/>
    </row>
    <row r="743" spans="2:2" s="105" customFormat="1">
      <c r="B743" s="107"/>
    </row>
    <row r="744" spans="2:2" s="105" customFormat="1">
      <c r="B744" s="107"/>
    </row>
    <row r="745" spans="2:2" s="105" customFormat="1">
      <c r="B745" s="107"/>
    </row>
    <row r="746" spans="2:2" s="105" customFormat="1">
      <c r="B746" s="107"/>
    </row>
    <row r="747" spans="2:2" s="105" customFormat="1">
      <c r="B747" s="107"/>
    </row>
    <row r="748" spans="2:2" s="105" customFormat="1">
      <c r="B748" s="107"/>
    </row>
    <row r="749" spans="2:2" s="105" customFormat="1">
      <c r="B749" s="107"/>
    </row>
    <row r="750" spans="2:2" s="105" customFormat="1">
      <c r="B750" s="107"/>
    </row>
    <row r="751" spans="2:2" s="105" customFormat="1">
      <c r="B751" s="107"/>
    </row>
    <row r="752" spans="2:2" s="105" customFormat="1">
      <c r="B752" s="107"/>
    </row>
    <row r="753" spans="2:2" s="105" customFormat="1">
      <c r="B753" s="107"/>
    </row>
    <row r="754" spans="2:2" s="105" customFormat="1">
      <c r="B754" s="107"/>
    </row>
    <row r="755" spans="2:2" s="105" customFormat="1">
      <c r="B755" s="107"/>
    </row>
    <row r="756" spans="2:2" s="105" customFormat="1">
      <c r="B756" s="107"/>
    </row>
    <row r="757" spans="2:2" s="105" customFormat="1">
      <c r="B757" s="107"/>
    </row>
    <row r="758" spans="2:2" s="105" customFormat="1">
      <c r="B758" s="107"/>
    </row>
    <row r="759" spans="2:2" s="105" customFormat="1">
      <c r="B759" s="107"/>
    </row>
    <row r="760" spans="2:2" s="105" customFormat="1">
      <c r="B760" s="107"/>
    </row>
    <row r="761" spans="2:2" s="105" customFormat="1">
      <c r="B761" s="107"/>
    </row>
    <row r="762" spans="2:2" s="105" customFormat="1">
      <c r="B762" s="107"/>
    </row>
    <row r="763" spans="2:2" s="105" customFormat="1">
      <c r="B763" s="107"/>
    </row>
    <row r="764" spans="2:2" s="105" customFormat="1">
      <c r="B764" s="107"/>
    </row>
    <row r="765" spans="2:2" s="105" customFormat="1">
      <c r="B765" s="107"/>
    </row>
    <row r="766" spans="2:2" s="105" customFormat="1">
      <c r="B766" s="107"/>
    </row>
    <row r="767" spans="2:2" s="105" customFormat="1">
      <c r="B767" s="107"/>
    </row>
    <row r="768" spans="2:2" s="105" customFormat="1">
      <c r="B768" s="107"/>
    </row>
    <row r="769" spans="2:2" s="105" customFormat="1">
      <c r="B769" s="107"/>
    </row>
    <row r="770" spans="2:2" s="105" customFormat="1">
      <c r="B770" s="107"/>
    </row>
    <row r="771" spans="2:2" s="105" customFormat="1">
      <c r="B771" s="107"/>
    </row>
    <row r="772" spans="2:2" s="105" customFormat="1">
      <c r="B772" s="107"/>
    </row>
    <row r="773" spans="2:2" s="105" customFormat="1">
      <c r="B773" s="107"/>
    </row>
    <row r="774" spans="2:2" s="105" customFormat="1">
      <c r="B774" s="107"/>
    </row>
    <row r="775" spans="2:2" s="105" customFormat="1">
      <c r="B775" s="107"/>
    </row>
    <row r="776" spans="2:2" s="105" customFormat="1">
      <c r="B776" s="107"/>
    </row>
    <row r="777" spans="2:2" s="105" customFormat="1">
      <c r="B777" s="107"/>
    </row>
    <row r="778" spans="2:2" s="105" customFormat="1">
      <c r="B778" s="107"/>
    </row>
    <row r="779" spans="2:2" s="105" customFormat="1">
      <c r="B779" s="107"/>
    </row>
    <row r="780" spans="2:2" s="105" customFormat="1">
      <c r="B780" s="107"/>
    </row>
    <row r="781" spans="2:2" s="105" customFormat="1">
      <c r="B781" s="107"/>
    </row>
    <row r="782" spans="2:2" s="105" customFormat="1">
      <c r="B782" s="107"/>
    </row>
    <row r="783" spans="2:2" s="105" customFormat="1">
      <c r="B783" s="107"/>
    </row>
    <row r="784" spans="2:2" s="105" customFormat="1">
      <c r="B784" s="107"/>
    </row>
    <row r="785" spans="2:2" s="105" customFormat="1">
      <c r="B785" s="107"/>
    </row>
    <row r="786" spans="2:2" s="105" customFormat="1">
      <c r="B786" s="107"/>
    </row>
    <row r="787" spans="2:2" s="105" customFormat="1">
      <c r="B787" s="107"/>
    </row>
    <row r="788" spans="2:2" s="105" customFormat="1">
      <c r="B788" s="107"/>
    </row>
    <row r="789" spans="2:2" s="105" customFormat="1">
      <c r="B789" s="107"/>
    </row>
    <row r="790" spans="2:2" s="105" customFormat="1">
      <c r="B790" s="107"/>
    </row>
    <row r="791" spans="2:2" s="105" customFormat="1">
      <c r="B791" s="107"/>
    </row>
    <row r="792" spans="2:2" s="105" customFormat="1">
      <c r="B792" s="107"/>
    </row>
    <row r="793" spans="2:2" s="105" customFormat="1">
      <c r="B793" s="107"/>
    </row>
    <row r="794" spans="2:2" s="105" customFormat="1">
      <c r="B794" s="107"/>
    </row>
    <row r="795" spans="2:2" s="105" customFormat="1">
      <c r="B795" s="107"/>
    </row>
    <row r="796" spans="2:2" s="105" customFormat="1">
      <c r="B796" s="107"/>
    </row>
    <row r="797" spans="2:2" s="105" customFormat="1">
      <c r="B797" s="107"/>
    </row>
    <row r="798" spans="2:2" s="105" customFormat="1">
      <c r="B798" s="107"/>
    </row>
    <row r="799" spans="2:2" s="105" customFormat="1">
      <c r="B799" s="107"/>
    </row>
    <row r="800" spans="2:2" s="105" customFormat="1">
      <c r="B800" s="107"/>
    </row>
    <row r="801" spans="2:2" s="105" customFormat="1">
      <c r="B801" s="107"/>
    </row>
    <row r="802" spans="2:2" s="105" customFormat="1">
      <c r="B802" s="107"/>
    </row>
    <row r="803" spans="2:2" s="105" customFormat="1">
      <c r="B803" s="107"/>
    </row>
    <row r="804" spans="2:2" s="105" customFormat="1">
      <c r="B804" s="107"/>
    </row>
    <row r="805" spans="2:2" s="105" customFormat="1">
      <c r="B805" s="107"/>
    </row>
    <row r="806" spans="2:2" s="105" customFormat="1">
      <c r="B806" s="107"/>
    </row>
    <row r="807" spans="2:2" s="105" customFormat="1">
      <c r="B807" s="107"/>
    </row>
    <row r="808" spans="2:2" s="105" customFormat="1">
      <c r="B808" s="107"/>
    </row>
    <row r="809" spans="2:2" s="105" customFormat="1">
      <c r="B809" s="107"/>
    </row>
    <row r="810" spans="2:2" s="105" customFormat="1">
      <c r="B810" s="107"/>
    </row>
    <row r="811" spans="2:2" s="105" customFormat="1">
      <c r="B811" s="107"/>
    </row>
    <row r="812" spans="2:2" s="105" customFormat="1">
      <c r="B812" s="107"/>
    </row>
    <row r="813" spans="2:2" s="105" customFormat="1">
      <c r="B813" s="107"/>
    </row>
    <row r="814" spans="2:2" s="105" customFormat="1">
      <c r="B814" s="107"/>
    </row>
    <row r="815" spans="2:2" s="105" customFormat="1">
      <c r="B815" s="107"/>
    </row>
    <row r="816" spans="2:2" s="105" customFormat="1">
      <c r="B816" s="107"/>
    </row>
    <row r="817" spans="2:2" s="105" customFormat="1">
      <c r="B817" s="107"/>
    </row>
    <row r="818" spans="2:2" s="105" customFormat="1">
      <c r="B818" s="107"/>
    </row>
    <row r="819" spans="2:2" s="105" customFormat="1">
      <c r="B819" s="107"/>
    </row>
    <row r="820" spans="2:2" s="105" customFormat="1">
      <c r="B820" s="107"/>
    </row>
    <row r="821" spans="2:2" s="105" customFormat="1">
      <c r="B821" s="107"/>
    </row>
    <row r="822" spans="2:2" s="105" customFormat="1">
      <c r="B822" s="107"/>
    </row>
    <row r="823" spans="2:2" s="105" customFormat="1">
      <c r="B823" s="107"/>
    </row>
    <row r="824" spans="2:2" s="105" customFormat="1">
      <c r="B824" s="107"/>
    </row>
    <row r="825" spans="2:2" s="105" customFormat="1">
      <c r="B825" s="107"/>
    </row>
    <row r="826" spans="2:2" s="105" customFormat="1">
      <c r="B826" s="107"/>
    </row>
    <row r="827" spans="2:2" s="105" customFormat="1">
      <c r="B827" s="107"/>
    </row>
    <row r="828" spans="2:2" s="105" customFormat="1">
      <c r="B828" s="107"/>
    </row>
    <row r="829" spans="2:2" s="105" customFormat="1">
      <c r="B829" s="107"/>
    </row>
    <row r="830" spans="2:2" s="105" customFormat="1">
      <c r="B830" s="107"/>
    </row>
    <row r="831" spans="2:2" s="105" customFormat="1">
      <c r="B831" s="107"/>
    </row>
    <row r="832" spans="2:2" s="105" customFormat="1">
      <c r="B832" s="107"/>
    </row>
    <row r="833" spans="2:2" s="105" customFormat="1">
      <c r="B833" s="107"/>
    </row>
    <row r="834" spans="2:2" s="105" customFormat="1">
      <c r="B834" s="107"/>
    </row>
    <row r="835" spans="2:2" s="105" customFormat="1">
      <c r="B835" s="107"/>
    </row>
    <row r="836" spans="2:2" s="105" customFormat="1">
      <c r="B836" s="107"/>
    </row>
    <row r="837" spans="2:2" s="105" customFormat="1">
      <c r="B837" s="107"/>
    </row>
    <row r="838" spans="2:2" s="105" customFormat="1">
      <c r="B838" s="107"/>
    </row>
    <row r="839" spans="2:2" s="105" customFormat="1">
      <c r="B839" s="107"/>
    </row>
    <row r="840" spans="2:2" s="105" customFormat="1">
      <c r="B840" s="107"/>
    </row>
    <row r="841" spans="2:2" s="105" customFormat="1">
      <c r="B841" s="107"/>
    </row>
    <row r="842" spans="2:2" s="105" customFormat="1">
      <c r="B842" s="107"/>
    </row>
    <row r="843" spans="2:2" s="105" customFormat="1">
      <c r="B843" s="107"/>
    </row>
    <row r="844" spans="2:2" s="105" customFormat="1">
      <c r="B844" s="107"/>
    </row>
    <row r="845" spans="2:2" s="105" customFormat="1">
      <c r="B845" s="107"/>
    </row>
    <row r="846" spans="2:2" s="105" customFormat="1">
      <c r="B846" s="107"/>
    </row>
    <row r="847" spans="2:2" s="105" customFormat="1">
      <c r="B847" s="107"/>
    </row>
    <row r="848" spans="2:2" s="105" customFormat="1">
      <c r="B848" s="107"/>
    </row>
    <row r="849" spans="2:2" s="105" customFormat="1">
      <c r="B849" s="107"/>
    </row>
    <row r="850" spans="2:2" s="105" customFormat="1">
      <c r="B850" s="107"/>
    </row>
    <row r="851" spans="2:2" s="105" customFormat="1">
      <c r="B851" s="107"/>
    </row>
    <row r="852" spans="2:2" s="105" customFormat="1">
      <c r="B852" s="107"/>
    </row>
    <row r="853" spans="2:2" s="105" customFormat="1">
      <c r="B853" s="107"/>
    </row>
    <row r="854" spans="2:2" s="105" customFormat="1">
      <c r="B854" s="107"/>
    </row>
    <row r="855" spans="2:2" s="105" customFormat="1">
      <c r="B855" s="107"/>
    </row>
    <row r="856" spans="2:2" s="105" customFormat="1">
      <c r="B856" s="107"/>
    </row>
    <row r="857" spans="2:2" s="105" customFormat="1">
      <c r="B857" s="107"/>
    </row>
    <row r="858" spans="2:2" s="105" customFormat="1">
      <c r="B858" s="107"/>
    </row>
    <row r="859" spans="2:2" s="105" customFormat="1">
      <c r="B859" s="107"/>
    </row>
    <row r="860" spans="2:2" s="105" customFormat="1">
      <c r="B860" s="107"/>
    </row>
    <row r="861" spans="2:2" s="105" customFormat="1">
      <c r="B861" s="107"/>
    </row>
    <row r="862" spans="2:2" s="105" customFormat="1">
      <c r="B862" s="107"/>
    </row>
    <row r="863" spans="2:2" s="105" customFormat="1">
      <c r="B863" s="107"/>
    </row>
    <row r="864" spans="2:2" s="105" customFormat="1">
      <c r="B864" s="107"/>
    </row>
    <row r="865" spans="2:2" s="105" customFormat="1">
      <c r="B865" s="107"/>
    </row>
    <row r="866" spans="2:2" s="105" customFormat="1">
      <c r="B866" s="107"/>
    </row>
    <row r="867" spans="2:2" s="105" customFormat="1">
      <c r="B867" s="107"/>
    </row>
    <row r="868" spans="2:2" s="105" customFormat="1">
      <c r="B868" s="107"/>
    </row>
    <row r="869" spans="2:2" s="105" customFormat="1">
      <c r="B869" s="107"/>
    </row>
    <row r="870" spans="2:2" s="105" customFormat="1">
      <c r="B870" s="107"/>
    </row>
    <row r="871" spans="2:2" s="105" customFormat="1">
      <c r="B871" s="107"/>
    </row>
    <row r="872" spans="2:2" s="105" customFormat="1">
      <c r="B872" s="107"/>
    </row>
    <row r="873" spans="2:2" s="105" customFormat="1">
      <c r="B873" s="107"/>
    </row>
    <row r="874" spans="2:2" s="105" customFormat="1">
      <c r="B874" s="107"/>
    </row>
    <row r="875" spans="2:2" s="105" customFormat="1">
      <c r="B875" s="107"/>
    </row>
    <row r="876" spans="2:2" s="105" customFormat="1">
      <c r="B876" s="107"/>
    </row>
    <row r="877" spans="2:2" s="105" customFormat="1">
      <c r="B877" s="107"/>
    </row>
    <row r="878" spans="2:2" s="105" customFormat="1">
      <c r="B878" s="107"/>
    </row>
    <row r="879" spans="2:2" s="105" customFormat="1">
      <c r="B879" s="107"/>
    </row>
    <row r="880" spans="2:2" s="105" customFormat="1">
      <c r="B880" s="107"/>
    </row>
    <row r="881" spans="2:2" s="105" customFormat="1">
      <c r="B881" s="107"/>
    </row>
    <row r="882" spans="2:2" s="105" customFormat="1">
      <c r="B882" s="107"/>
    </row>
    <row r="883" spans="2:2" s="105" customFormat="1">
      <c r="B883" s="107"/>
    </row>
    <row r="884" spans="2:2" s="105" customFormat="1">
      <c r="B884" s="107"/>
    </row>
    <row r="885" spans="2:2" s="105" customFormat="1">
      <c r="B885" s="107"/>
    </row>
    <row r="886" spans="2:2" s="105" customFormat="1">
      <c r="B886" s="107"/>
    </row>
    <row r="887" spans="2:2" s="105" customFormat="1">
      <c r="B887" s="107"/>
    </row>
    <row r="888" spans="2:2" s="105" customFormat="1">
      <c r="B888" s="107"/>
    </row>
    <row r="889" spans="2:2" s="105" customFormat="1">
      <c r="B889" s="107"/>
    </row>
    <row r="890" spans="2:2" s="105" customFormat="1">
      <c r="B890" s="107"/>
    </row>
    <row r="891" spans="2:2" s="105" customFormat="1">
      <c r="B891" s="107"/>
    </row>
    <row r="892" spans="2:2" s="105" customFormat="1">
      <c r="B892" s="107"/>
    </row>
    <row r="893" spans="2:2" s="105" customFormat="1">
      <c r="B893" s="107"/>
    </row>
    <row r="894" spans="2:2" s="105" customFormat="1">
      <c r="B894" s="107"/>
    </row>
    <row r="895" spans="2:2" s="105" customFormat="1">
      <c r="B895" s="107"/>
    </row>
    <row r="896" spans="2:2" s="105" customFormat="1">
      <c r="B896" s="107"/>
    </row>
    <row r="897" spans="2:2" s="105" customFormat="1">
      <c r="B897" s="107"/>
    </row>
    <row r="898" spans="2:2" s="105" customFormat="1">
      <c r="B898" s="107"/>
    </row>
    <row r="899" spans="2:2" s="105" customFormat="1">
      <c r="B899" s="107"/>
    </row>
    <row r="900" spans="2:2" s="105" customFormat="1">
      <c r="B900" s="107"/>
    </row>
    <row r="901" spans="2:2" s="105" customFormat="1">
      <c r="B901" s="107"/>
    </row>
    <row r="902" spans="2:2" s="105" customFormat="1">
      <c r="B902" s="107"/>
    </row>
    <row r="903" spans="2:2" s="105" customFormat="1">
      <c r="B903" s="107"/>
    </row>
    <row r="904" spans="2:2" s="105" customFormat="1">
      <c r="B904" s="107"/>
    </row>
    <row r="905" spans="2:2" s="105" customFormat="1">
      <c r="B905" s="107"/>
    </row>
    <row r="906" spans="2:2" s="105" customFormat="1">
      <c r="B906" s="107"/>
    </row>
    <row r="907" spans="2:2" s="105" customFormat="1">
      <c r="B907" s="107"/>
    </row>
    <row r="908" spans="2:2" s="105" customFormat="1">
      <c r="B908" s="107"/>
    </row>
    <row r="909" spans="2:2" s="105" customFormat="1">
      <c r="B909" s="107"/>
    </row>
    <row r="910" spans="2:2" s="105" customFormat="1">
      <c r="B910" s="107"/>
    </row>
    <row r="911" spans="2:2" s="105" customFormat="1">
      <c r="B911" s="107"/>
    </row>
    <row r="912" spans="2:2" s="105" customFormat="1">
      <c r="B912" s="107"/>
    </row>
    <row r="913" spans="2:2" s="105" customFormat="1">
      <c r="B913" s="107"/>
    </row>
    <row r="914" spans="2:2" s="105" customFormat="1">
      <c r="B914" s="107"/>
    </row>
    <row r="915" spans="2:2" s="105" customFormat="1">
      <c r="B915" s="107"/>
    </row>
    <row r="916" spans="2:2" s="105" customFormat="1">
      <c r="B916" s="107"/>
    </row>
    <row r="917" spans="2:2" s="105" customFormat="1">
      <c r="B917" s="107"/>
    </row>
    <row r="918" spans="2:2" s="105" customFormat="1">
      <c r="B918" s="107"/>
    </row>
    <row r="919" spans="2:2" s="105" customFormat="1">
      <c r="B919" s="107"/>
    </row>
    <row r="920" spans="2:2" s="105" customFormat="1">
      <c r="B920" s="107"/>
    </row>
    <row r="921" spans="2:2" s="105" customFormat="1">
      <c r="B921" s="107"/>
    </row>
    <row r="922" spans="2:2" s="105" customFormat="1">
      <c r="B922" s="107"/>
    </row>
    <row r="923" spans="2:2" s="105" customFormat="1">
      <c r="B923" s="107"/>
    </row>
    <row r="924" spans="2:2" s="105" customFormat="1">
      <c r="B924" s="107"/>
    </row>
    <row r="925" spans="2:2" s="105" customFormat="1">
      <c r="B925" s="107"/>
    </row>
    <row r="926" spans="2:2" s="105" customFormat="1">
      <c r="B926" s="107"/>
    </row>
    <row r="927" spans="2:2" s="105" customFormat="1">
      <c r="B927" s="107"/>
    </row>
    <row r="928" spans="2:2" s="105" customFormat="1">
      <c r="B928" s="107"/>
    </row>
    <row r="929" spans="2:2" s="105" customFormat="1">
      <c r="B929" s="107"/>
    </row>
    <row r="930" spans="2:2" s="105" customFormat="1">
      <c r="B930" s="107"/>
    </row>
    <row r="931" spans="2:2" s="105" customFormat="1">
      <c r="B931" s="107"/>
    </row>
    <row r="932" spans="2:2" s="105" customFormat="1">
      <c r="B932" s="107"/>
    </row>
    <row r="933" spans="2:2" s="105" customFormat="1">
      <c r="B933" s="107"/>
    </row>
    <row r="934" spans="2:2" s="105" customFormat="1">
      <c r="B934" s="107"/>
    </row>
    <row r="935" spans="2:2" s="105" customFormat="1">
      <c r="B935" s="107"/>
    </row>
    <row r="936" spans="2:2" s="105" customFormat="1">
      <c r="B936" s="107"/>
    </row>
    <row r="937" spans="2:2" s="105" customFormat="1">
      <c r="B937" s="107"/>
    </row>
    <row r="938" spans="2:2" s="105" customFormat="1">
      <c r="B938" s="107"/>
    </row>
    <row r="939" spans="2:2" s="105" customFormat="1">
      <c r="B939" s="107"/>
    </row>
    <row r="940" spans="2:2" s="105" customFormat="1">
      <c r="B940" s="107"/>
    </row>
    <row r="941" spans="2:2" s="105" customFormat="1">
      <c r="B941" s="107"/>
    </row>
    <row r="942" spans="2:2" s="105" customFormat="1">
      <c r="B942" s="107"/>
    </row>
    <row r="943" spans="2:2" s="105" customFormat="1">
      <c r="B943" s="107"/>
    </row>
    <row r="944" spans="2:2" s="105" customFormat="1">
      <c r="B944" s="107"/>
    </row>
    <row r="945" spans="2:2" s="105" customFormat="1">
      <c r="B945" s="107"/>
    </row>
    <row r="946" spans="2:2" s="105" customFormat="1">
      <c r="B946" s="107"/>
    </row>
    <row r="947" spans="2:2" s="105" customFormat="1">
      <c r="B947" s="107"/>
    </row>
    <row r="948" spans="2:2" s="105" customFormat="1">
      <c r="B948" s="107"/>
    </row>
    <row r="949" spans="2:2" s="105" customFormat="1">
      <c r="B949" s="107"/>
    </row>
    <row r="950" spans="2:2" s="105" customFormat="1">
      <c r="B950" s="107"/>
    </row>
    <row r="951" spans="2:2" s="105" customFormat="1">
      <c r="B951" s="107"/>
    </row>
    <row r="952" spans="2:2" s="105" customFormat="1">
      <c r="B952" s="107"/>
    </row>
    <row r="953" spans="2:2" s="105" customFormat="1">
      <c r="B953" s="107"/>
    </row>
    <row r="954" spans="2:2" s="105" customFormat="1">
      <c r="B954" s="107"/>
    </row>
    <row r="955" spans="2:2" s="105" customFormat="1">
      <c r="B955" s="107"/>
    </row>
    <row r="956" spans="2:2" s="105" customFormat="1">
      <c r="B956" s="107"/>
    </row>
    <row r="957" spans="2:2" s="105" customFormat="1">
      <c r="B957" s="107"/>
    </row>
    <row r="958" spans="2:2" s="105" customFormat="1">
      <c r="B958" s="107"/>
    </row>
    <row r="959" spans="2:2" s="105" customFormat="1">
      <c r="B959" s="107"/>
    </row>
    <row r="960" spans="2:2" s="105" customFormat="1">
      <c r="B960" s="107"/>
    </row>
    <row r="961" spans="2:2" s="105" customFormat="1">
      <c r="B961" s="107"/>
    </row>
    <row r="962" spans="2:2" s="105" customFormat="1">
      <c r="B962" s="107"/>
    </row>
    <row r="963" spans="2:2" s="105" customFormat="1">
      <c r="B963" s="107"/>
    </row>
    <row r="964" spans="2:2" s="105" customFormat="1">
      <c r="B964" s="107"/>
    </row>
    <row r="965" spans="2:2" s="105" customFormat="1">
      <c r="B965" s="107"/>
    </row>
    <row r="966" spans="2:2" s="105" customFormat="1">
      <c r="B966" s="107"/>
    </row>
    <row r="967" spans="2:2" s="105" customFormat="1">
      <c r="B967" s="107"/>
    </row>
    <row r="968" spans="2:2" s="105" customFormat="1">
      <c r="B968" s="107"/>
    </row>
    <row r="969" spans="2:2" s="105" customFormat="1">
      <c r="B969" s="107"/>
    </row>
    <row r="970" spans="2:2" s="105" customFormat="1">
      <c r="B970" s="107"/>
    </row>
    <row r="971" spans="2:2" s="105" customFormat="1">
      <c r="B971" s="107"/>
    </row>
    <row r="972" spans="2:2" s="105" customFormat="1">
      <c r="B972" s="107"/>
    </row>
    <row r="973" spans="2:2" s="105" customFormat="1">
      <c r="B973" s="107"/>
    </row>
    <row r="974" spans="2:2" s="105" customFormat="1">
      <c r="B974" s="107"/>
    </row>
    <row r="975" spans="2:2" s="105" customFormat="1">
      <c r="B975" s="107"/>
    </row>
    <row r="976" spans="2:2" s="105" customFormat="1">
      <c r="B976" s="107"/>
    </row>
    <row r="977" spans="2:2" s="105" customFormat="1">
      <c r="B977" s="107"/>
    </row>
    <row r="978" spans="2:2" s="105" customFormat="1">
      <c r="B978" s="107"/>
    </row>
    <row r="979" spans="2:2" s="105" customFormat="1">
      <c r="B979" s="107"/>
    </row>
    <row r="980" spans="2:2" s="105" customFormat="1">
      <c r="B980" s="107"/>
    </row>
    <row r="981" spans="2:2" s="105" customFormat="1">
      <c r="B981" s="107"/>
    </row>
    <row r="982" spans="2:2" s="105" customFormat="1">
      <c r="B982" s="107"/>
    </row>
    <row r="983" spans="2:2" s="105" customFormat="1">
      <c r="B983" s="107"/>
    </row>
    <row r="984" spans="2:2" s="105" customFormat="1">
      <c r="B984" s="107"/>
    </row>
    <row r="985" spans="2:2" s="105" customFormat="1">
      <c r="B985" s="107"/>
    </row>
    <row r="986" spans="2:2" s="105" customFormat="1">
      <c r="B986" s="107"/>
    </row>
    <row r="987" spans="2:2" s="105" customFormat="1">
      <c r="B987" s="107"/>
    </row>
    <row r="988" spans="2:2" s="105" customFormat="1">
      <c r="B988" s="107"/>
    </row>
    <row r="989" spans="2:2" s="105" customFormat="1">
      <c r="B989" s="107"/>
    </row>
    <row r="990" spans="2:2" s="105" customFormat="1">
      <c r="B990" s="107"/>
    </row>
    <row r="991" spans="2:2" s="105" customFormat="1">
      <c r="B991" s="107"/>
    </row>
    <row r="992" spans="2:2" s="105" customFormat="1">
      <c r="B992" s="107"/>
    </row>
    <row r="993" spans="2:2" s="105" customFormat="1">
      <c r="B993" s="107"/>
    </row>
    <row r="994" spans="2:2" s="105" customFormat="1">
      <c r="B994" s="107"/>
    </row>
    <row r="995" spans="2:2" s="105" customFormat="1">
      <c r="B995" s="107"/>
    </row>
    <row r="996" spans="2:2" s="105" customFormat="1">
      <c r="B996" s="107"/>
    </row>
    <row r="997" spans="2:2" s="105" customFormat="1">
      <c r="B997" s="107"/>
    </row>
    <row r="998" spans="2:2" s="105" customFormat="1">
      <c r="B998" s="107"/>
    </row>
    <row r="999" spans="2:2" s="105" customFormat="1">
      <c r="B999" s="107"/>
    </row>
    <row r="1000" spans="2:2" s="105" customFormat="1">
      <c r="B1000" s="107"/>
    </row>
    <row r="1001" spans="2:2" s="105" customFormat="1">
      <c r="B1001" s="107"/>
    </row>
    <row r="1002" spans="2:2" s="105" customFormat="1">
      <c r="B1002" s="107"/>
    </row>
    <row r="1003" spans="2:2" s="105" customFormat="1">
      <c r="B1003" s="107"/>
    </row>
    <row r="1004" spans="2:2" s="105" customFormat="1">
      <c r="B1004" s="107"/>
    </row>
    <row r="1005" spans="2:2" s="105" customFormat="1">
      <c r="B1005" s="107"/>
    </row>
    <row r="1006" spans="2:2" s="105" customFormat="1">
      <c r="B1006" s="107"/>
    </row>
    <row r="1007" spans="2:2" s="105" customFormat="1">
      <c r="B1007" s="107"/>
    </row>
    <row r="1008" spans="2:2" s="105" customFormat="1">
      <c r="B1008" s="107"/>
    </row>
    <row r="1009" spans="2:2" s="105" customFormat="1">
      <c r="B1009" s="107"/>
    </row>
    <row r="1010" spans="2:2" s="105" customFormat="1">
      <c r="B1010" s="107"/>
    </row>
    <row r="1011" spans="2:2" s="105" customFormat="1">
      <c r="B1011" s="107"/>
    </row>
    <row r="1012" spans="2:2" s="105" customFormat="1">
      <c r="B1012" s="107"/>
    </row>
    <row r="1013" spans="2:2" s="105" customFormat="1">
      <c r="B1013" s="107"/>
    </row>
    <row r="1014" spans="2:2" s="105" customFormat="1">
      <c r="B1014" s="107"/>
    </row>
    <row r="1015" spans="2:2" s="105" customFormat="1">
      <c r="B1015" s="107"/>
    </row>
    <row r="1016" spans="2:2" s="105" customFormat="1">
      <c r="B1016" s="107"/>
    </row>
    <row r="1017" spans="2:2" s="105" customFormat="1">
      <c r="B1017" s="107"/>
    </row>
    <row r="1018" spans="2:2" s="105" customFormat="1">
      <c r="B1018" s="107"/>
    </row>
    <row r="1019" spans="2:2" s="105" customFormat="1">
      <c r="B1019" s="107"/>
    </row>
    <row r="1020" spans="2:2" s="105" customFormat="1">
      <c r="B1020" s="107"/>
    </row>
    <row r="1021" spans="2:2" s="105" customFormat="1">
      <c r="B1021" s="107"/>
    </row>
    <row r="1022" spans="2:2" s="105" customFormat="1">
      <c r="B1022" s="107"/>
    </row>
    <row r="1023" spans="2:2" s="105" customFormat="1">
      <c r="B1023" s="107"/>
    </row>
    <row r="1024" spans="2:2" s="105" customFormat="1">
      <c r="B1024" s="107"/>
    </row>
    <row r="1025" spans="2:2" s="105" customFormat="1">
      <c r="B1025" s="107"/>
    </row>
    <row r="1026" spans="2:2" s="105" customFormat="1">
      <c r="B1026" s="107"/>
    </row>
    <row r="1027" spans="2:2" s="105" customFormat="1">
      <c r="B1027" s="107"/>
    </row>
    <row r="1028" spans="2:2" s="105" customFormat="1">
      <c r="B1028" s="107"/>
    </row>
    <row r="1029" spans="2:2" s="105" customFormat="1">
      <c r="B1029" s="107"/>
    </row>
    <row r="1030" spans="2:2" s="105" customFormat="1">
      <c r="B1030" s="107"/>
    </row>
    <row r="1031" spans="2:2" s="105" customFormat="1">
      <c r="B1031" s="107"/>
    </row>
    <row r="1032" spans="2:2" s="105" customFormat="1">
      <c r="B1032" s="107"/>
    </row>
    <row r="1033" spans="2:2" s="105" customFormat="1">
      <c r="B1033" s="107"/>
    </row>
    <row r="1034" spans="2:2" s="105" customFormat="1">
      <c r="B1034" s="107"/>
    </row>
    <row r="1035" spans="2:2" s="105" customFormat="1">
      <c r="B1035" s="107"/>
    </row>
    <row r="1036" spans="2:2" s="105" customFormat="1">
      <c r="B1036" s="107"/>
    </row>
    <row r="1037" spans="2:2" s="105" customFormat="1">
      <c r="B1037" s="107"/>
    </row>
    <row r="1038" spans="2:2" s="105" customFormat="1">
      <c r="B1038" s="107"/>
    </row>
    <row r="1039" spans="2:2" s="105" customFormat="1">
      <c r="B1039" s="107"/>
    </row>
    <row r="1040" spans="2:2" s="105" customFormat="1">
      <c r="B1040" s="107"/>
    </row>
    <row r="1041" spans="2:2" s="105" customFormat="1">
      <c r="B1041" s="107"/>
    </row>
    <row r="1042" spans="2:2" s="105" customFormat="1">
      <c r="B1042" s="107"/>
    </row>
    <row r="1043" spans="2:2" s="105" customFormat="1">
      <c r="B1043" s="107"/>
    </row>
    <row r="1044" spans="2:2" s="105" customFormat="1">
      <c r="B1044" s="107"/>
    </row>
    <row r="1045" spans="2:2" s="105" customFormat="1">
      <c r="B1045" s="107"/>
    </row>
    <row r="1046" spans="2:2" s="105" customFormat="1">
      <c r="B1046" s="107"/>
    </row>
    <row r="1047" spans="2:2" s="105" customFormat="1">
      <c r="B1047" s="107"/>
    </row>
    <row r="1048" spans="2:2" s="105" customFormat="1">
      <c r="B1048" s="107"/>
    </row>
    <row r="1049" spans="2:2" s="105" customFormat="1">
      <c r="B1049" s="107"/>
    </row>
    <row r="1050" spans="2:2" s="105" customFormat="1">
      <c r="B1050" s="107"/>
    </row>
    <row r="1051" spans="2:2" s="105" customFormat="1">
      <c r="B1051" s="107"/>
    </row>
    <row r="1052" spans="2:2" s="105" customFormat="1">
      <c r="B1052" s="107"/>
    </row>
    <row r="1053" spans="2:2" s="105" customFormat="1">
      <c r="B1053" s="107"/>
    </row>
    <row r="1054" spans="2:2" s="105" customFormat="1">
      <c r="B1054" s="107"/>
    </row>
    <row r="1055" spans="2:2" s="105" customFormat="1">
      <c r="B1055" s="107"/>
    </row>
    <row r="1056" spans="2:2" s="105" customFormat="1">
      <c r="B1056" s="107"/>
    </row>
    <row r="1057" spans="2:2" s="105" customFormat="1">
      <c r="B1057" s="107"/>
    </row>
    <row r="1058" spans="2:2" s="105" customFormat="1">
      <c r="B1058" s="107"/>
    </row>
    <row r="1059" spans="2:2" s="105" customFormat="1">
      <c r="B1059" s="107"/>
    </row>
    <row r="1060" spans="2:2" s="105" customFormat="1">
      <c r="B1060" s="107"/>
    </row>
    <row r="1061" spans="2:2" s="105" customFormat="1">
      <c r="B1061" s="107"/>
    </row>
    <row r="1062" spans="2:2" s="105" customFormat="1">
      <c r="B1062" s="107"/>
    </row>
    <row r="1063" spans="2:2" s="105" customFormat="1">
      <c r="B1063" s="107"/>
    </row>
    <row r="1064" spans="2:2" s="105" customFormat="1">
      <c r="B1064" s="107"/>
    </row>
    <row r="1065" spans="2:2" s="105" customFormat="1">
      <c r="B1065" s="107"/>
    </row>
    <row r="1066" spans="2:2" s="105" customFormat="1">
      <c r="B1066" s="107"/>
    </row>
    <row r="1067" spans="2:2" s="105" customFormat="1">
      <c r="B1067" s="107"/>
    </row>
    <row r="1068" spans="2:2" s="105" customFormat="1">
      <c r="B1068" s="107"/>
    </row>
    <row r="1069" spans="2:2" s="105" customFormat="1">
      <c r="B1069" s="107"/>
    </row>
    <row r="1070" spans="2:2" s="105" customFormat="1">
      <c r="B1070" s="107"/>
    </row>
    <row r="1071" spans="2:2" s="105" customFormat="1">
      <c r="B1071" s="107"/>
    </row>
    <row r="1072" spans="2:2" s="105" customFormat="1">
      <c r="B1072" s="107"/>
    </row>
    <row r="1073" spans="2:2" s="105" customFormat="1">
      <c r="B1073" s="107"/>
    </row>
    <row r="1074" spans="2:2" s="105" customFormat="1">
      <c r="B1074" s="107"/>
    </row>
    <row r="1075" spans="2:2" s="105" customFormat="1">
      <c r="B1075" s="107"/>
    </row>
    <row r="1076" spans="2:2" s="105" customFormat="1">
      <c r="B1076" s="107"/>
    </row>
    <row r="1077" spans="2:2" s="105" customFormat="1">
      <c r="B1077" s="107"/>
    </row>
    <row r="1078" spans="2:2" s="105" customFormat="1">
      <c r="B1078" s="107"/>
    </row>
    <row r="1079" spans="2:2" s="105" customFormat="1">
      <c r="B1079" s="107"/>
    </row>
    <row r="1080" spans="2:2" s="105" customFormat="1">
      <c r="B1080" s="107"/>
    </row>
    <row r="1081" spans="2:2" s="105" customFormat="1">
      <c r="B1081" s="107"/>
    </row>
    <row r="1082" spans="2:2" s="105" customFormat="1">
      <c r="B1082" s="107"/>
    </row>
    <row r="1083" spans="2:2" s="105" customFormat="1">
      <c r="B1083" s="107"/>
    </row>
    <row r="1084" spans="2:2" s="105" customFormat="1">
      <c r="B1084" s="107"/>
    </row>
    <row r="1085" spans="2:2" s="105" customFormat="1">
      <c r="B1085" s="107"/>
    </row>
    <row r="1086" spans="2:2" s="105" customFormat="1">
      <c r="B1086" s="107"/>
    </row>
    <row r="1087" spans="2:2" s="105" customFormat="1">
      <c r="B1087" s="107"/>
    </row>
    <row r="1088" spans="2:2" s="105" customFormat="1">
      <c r="B1088" s="107"/>
    </row>
    <row r="1089" spans="2:2" s="105" customFormat="1">
      <c r="B1089" s="107"/>
    </row>
    <row r="1090" spans="2:2" s="105" customFormat="1">
      <c r="B1090" s="107"/>
    </row>
    <row r="1091" spans="2:2" s="105" customFormat="1">
      <c r="B1091" s="107"/>
    </row>
    <row r="1092" spans="2:2" s="105" customFormat="1">
      <c r="B1092" s="107"/>
    </row>
    <row r="1093" spans="2:2" s="105" customFormat="1">
      <c r="B1093" s="107"/>
    </row>
    <row r="1094" spans="2:2" s="105" customFormat="1">
      <c r="B1094" s="107"/>
    </row>
    <row r="1095" spans="2:2" s="105" customFormat="1">
      <c r="B1095" s="107"/>
    </row>
    <row r="1096" spans="2:2" s="105" customFormat="1">
      <c r="B1096" s="107"/>
    </row>
    <row r="1097" spans="2:2" s="105" customFormat="1">
      <c r="B1097" s="107"/>
    </row>
    <row r="1098" spans="2:2" s="105" customFormat="1">
      <c r="B1098" s="107"/>
    </row>
    <row r="1099" spans="2:2" s="105" customFormat="1">
      <c r="B1099" s="107"/>
    </row>
    <row r="1100" spans="2:2" s="105" customFormat="1">
      <c r="B1100" s="107"/>
    </row>
    <row r="1101" spans="2:2" s="105" customFormat="1">
      <c r="B1101" s="107"/>
    </row>
    <row r="1102" spans="2:2" s="105" customFormat="1">
      <c r="B1102" s="107"/>
    </row>
    <row r="1103" spans="2:2" s="105" customFormat="1">
      <c r="B1103" s="107"/>
    </row>
    <row r="1104" spans="2:2" s="105" customFormat="1">
      <c r="B1104" s="107"/>
    </row>
    <row r="1105" spans="2:2" s="105" customFormat="1">
      <c r="B1105" s="107"/>
    </row>
    <row r="1106" spans="2:2" s="105" customFormat="1">
      <c r="B1106" s="107"/>
    </row>
    <row r="1107" spans="2:2" s="105" customFormat="1">
      <c r="B1107" s="107"/>
    </row>
    <row r="1108" spans="2:2" s="105" customFormat="1">
      <c r="B1108" s="107"/>
    </row>
    <row r="1109" spans="2:2" s="105" customFormat="1">
      <c r="B1109" s="107"/>
    </row>
    <row r="1110" spans="2:2" s="105" customFormat="1">
      <c r="B1110" s="107"/>
    </row>
    <row r="1111" spans="2:2" s="105" customFormat="1">
      <c r="B1111" s="107"/>
    </row>
    <row r="1112" spans="2:2" s="105" customFormat="1">
      <c r="B1112" s="107"/>
    </row>
    <row r="1113" spans="2:2" s="105" customFormat="1">
      <c r="B1113" s="107"/>
    </row>
    <row r="1114" spans="2:2" s="105" customFormat="1">
      <c r="B1114" s="107"/>
    </row>
    <row r="1115" spans="2:2" s="105" customFormat="1">
      <c r="B1115" s="107"/>
    </row>
    <row r="1116" spans="2:2" s="105" customFormat="1">
      <c r="B1116" s="107"/>
    </row>
    <row r="1117" spans="2:2" s="105" customFormat="1">
      <c r="B1117" s="107"/>
    </row>
    <row r="1118" spans="2:2" s="105" customFormat="1">
      <c r="B1118" s="107"/>
    </row>
    <row r="1119" spans="2:2" s="105" customFormat="1">
      <c r="B1119" s="107"/>
    </row>
    <row r="1120" spans="2:2" s="105" customFormat="1">
      <c r="B1120" s="107"/>
    </row>
    <row r="1121" spans="2:2" s="105" customFormat="1">
      <c r="B1121" s="107"/>
    </row>
    <row r="1122" spans="2:2" s="105" customFormat="1">
      <c r="B1122" s="107"/>
    </row>
    <row r="1123" spans="2:2" s="105" customFormat="1">
      <c r="B1123" s="107"/>
    </row>
    <row r="1124" spans="2:2" s="105" customFormat="1">
      <c r="B1124" s="107"/>
    </row>
    <row r="1125" spans="2:2" s="105" customFormat="1">
      <c r="B1125" s="107"/>
    </row>
    <row r="1126" spans="2:2" s="105" customFormat="1">
      <c r="B1126" s="107"/>
    </row>
    <row r="1127" spans="2:2" s="105" customFormat="1">
      <c r="B1127" s="107"/>
    </row>
    <row r="1128" spans="2:2" s="105" customFormat="1">
      <c r="B1128" s="107"/>
    </row>
    <row r="1129" spans="2:2" s="105" customFormat="1">
      <c r="B1129" s="107"/>
    </row>
    <row r="1130" spans="2:2" s="105" customFormat="1">
      <c r="B1130" s="107"/>
    </row>
    <row r="1131" spans="2:2" s="105" customFormat="1">
      <c r="B1131" s="107"/>
    </row>
    <row r="1132" spans="2:2" s="105" customFormat="1">
      <c r="B1132" s="107"/>
    </row>
    <row r="1133" spans="2:2" s="105" customFormat="1">
      <c r="B1133" s="107"/>
    </row>
    <row r="1134" spans="2:2" s="105" customFormat="1">
      <c r="B1134" s="107"/>
    </row>
    <row r="1135" spans="2:2" s="105" customFormat="1">
      <c r="B1135" s="107"/>
    </row>
    <row r="1136" spans="2:2" s="105" customFormat="1">
      <c r="B1136" s="107"/>
    </row>
    <row r="1137" spans="2:2" s="105" customFormat="1">
      <c r="B1137" s="107"/>
    </row>
    <row r="1138" spans="2:2" s="105" customFormat="1">
      <c r="B1138" s="107"/>
    </row>
    <row r="1139" spans="2:2" s="105" customFormat="1">
      <c r="B1139" s="107"/>
    </row>
    <row r="1140" spans="2:2" s="105" customFormat="1">
      <c r="B1140" s="107"/>
    </row>
    <row r="1141" spans="2:2" s="105" customFormat="1">
      <c r="B1141" s="107"/>
    </row>
    <row r="1142" spans="2:2" s="105" customFormat="1">
      <c r="B1142" s="107"/>
    </row>
    <row r="1143" spans="2:2" s="105" customFormat="1">
      <c r="B1143" s="107"/>
    </row>
    <row r="1144" spans="2:2" s="105" customFormat="1">
      <c r="B1144" s="107"/>
    </row>
    <row r="1145" spans="2:2" s="105" customFormat="1">
      <c r="B1145" s="107"/>
    </row>
    <row r="1146" spans="2:2" s="105" customFormat="1">
      <c r="B1146" s="107"/>
    </row>
    <row r="1147" spans="2:2" s="105" customFormat="1">
      <c r="B1147" s="107"/>
    </row>
    <row r="1148" spans="2:2" s="105" customFormat="1">
      <c r="B1148" s="107"/>
    </row>
    <row r="1149" spans="2:2" s="105" customFormat="1">
      <c r="B1149" s="107"/>
    </row>
    <row r="1150" spans="2:2" s="105" customFormat="1">
      <c r="B1150" s="107"/>
    </row>
    <row r="1151" spans="2:2" s="105" customFormat="1">
      <c r="B1151" s="107"/>
    </row>
    <row r="1152" spans="2:2" s="105" customFormat="1">
      <c r="B1152" s="107"/>
    </row>
    <row r="1153" spans="2:2" s="105" customFormat="1">
      <c r="B1153" s="107"/>
    </row>
    <row r="1154" spans="2:2" s="105" customFormat="1">
      <c r="B1154" s="107"/>
    </row>
    <row r="1155" spans="2:2" s="105" customFormat="1">
      <c r="B1155" s="107"/>
    </row>
    <row r="1156" spans="2:2" s="105" customFormat="1">
      <c r="B1156" s="107"/>
    </row>
    <row r="1157" spans="2:2" s="105" customFormat="1">
      <c r="B1157" s="107"/>
    </row>
    <row r="1158" spans="2:2" s="105" customFormat="1">
      <c r="B1158" s="107"/>
    </row>
    <row r="1159" spans="2:2" s="105" customFormat="1">
      <c r="B1159" s="107"/>
    </row>
    <row r="1160" spans="2:2" s="105" customFormat="1">
      <c r="B1160" s="107"/>
    </row>
    <row r="1161" spans="2:2" s="105" customFormat="1">
      <c r="B1161" s="107"/>
    </row>
    <row r="1162" spans="2:2" s="105" customFormat="1">
      <c r="B1162" s="107"/>
    </row>
    <row r="1163" spans="2:2" s="105" customFormat="1">
      <c r="B1163" s="107"/>
    </row>
    <row r="1164" spans="2:2" s="105" customFormat="1">
      <c r="B1164" s="107"/>
    </row>
    <row r="1165" spans="2:2" s="105" customFormat="1">
      <c r="B1165" s="107"/>
    </row>
    <row r="1166" spans="2:2" s="105" customFormat="1">
      <c r="B1166" s="107"/>
    </row>
    <row r="1167" spans="2:2" s="105" customFormat="1">
      <c r="B1167" s="107"/>
    </row>
    <row r="1168" spans="2:2" s="105" customFormat="1">
      <c r="B1168" s="107"/>
    </row>
    <row r="1169" spans="2:2" s="105" customFormat="1">
      <c r="B1169" s="107"/>
    </row>
    <row r="1170" spans="2:2" s="105" customFormat="1">
      <c r="B1170" s="107"/>
    </row>
    <row r="1171" spans="2:2" s="105" customFormat="1">
      <c r="B1171" s="107"/>
    </row>
    <row r="1172" spans="2:2" s="105" customFormat="1">
      <c r="B1172" s="107"/>
    </row>
    <row r="1173" spans="2:2" s="105" customFormat="1">
      <c r="B1173" s="107"/>
    </row>
    <row r="1174" spans="2:2" s="105" customFormat="1">
      <c r="B1174" s="107"/>
    </row>
    <row r="1175" spans="2:2" s="105" customFormat="1">
      <c r="B1175" s="107"/>
    </row>
    <row r="1176" spans="2:2" s="105" customFormat="1">
      <c r="B1176" s="107"/>
    </row>
    <row r="1177" spans="2:2" s="105" customFormat="1">
      <c r="B1177" s="107"/>
    </row>
    <row r="1178" spans="2:2" s="105" customFormat="1">
      <c r="B1178" s="107"/>
    </row>
    <row r="1179" spans="2:2" s="105" customFormat="1">
      <c r="B1179" s="107"/>
    </row>
    <row r="1180" spans="2:2" s="105" customFormat="1">
      <c r="B1180" s="107"/>
    </row>
    <row r="1181" spans="2:2" s="105" customFormat="1">
      <c r="B1181" s="107"/>
    </row>
    <row r="1182" spans="2:2" s="105" customFormat="1">
      <c r="B1182" s="107"/>
    </row>
    <row r="1183" spans="2:2" s="105" customFormat="1">
      <c r="B1183" s="107"/>
    </row>
    <row r="1184" spans="2:2" s="105" customFormat="1">
      <c r="B1184" s="107"/>
    </row>
    <row r="1185" spans="2:2" s="105" customFormat="1">
      <c r="B1185" s="107"/>
    </row>
    <row r="1186" spans="2:2" s="105" customFormat="1">
      <c r="B1186" s="107"/>
    </row>
    <row r="1187" spans="2:2" s="105" customFormat="1">
      <c r="B1187" s="107"/>
    </row>
    <row r="1188" spans="2:2" s="105" customFormat="1">
      <c r="B1188" s="107"/>
    </row>
    <row r="1189" spans="2:2" s="105" customFormat="1">
      <c r="B1189" s="107"/>
    </row>
    <row r="1190" spans="2:2" s="105" customFormat="1">
      <c r="B1190" s="107"/>
    </row>
    <row r="1191" spans="2:2" s="105" customFormat="1">
      <c r="B1191" s="107"/>
    </row>
    <row r="1192" spans="2:2" s="105" customFormat="1">
      <c r="B1192" s="107"/>
    </row>
    <row r="1193" spans="2:2" s="105" customFormat="1">
      <c r="B1193" s="107"/>
    </row>
    <row r="1194" spans="2:2" s="105" customFormat="1">
      <c r="B1194" s="107"/>
    </row>
    <row r="1195" spans="2:2" s="105" customFormat="1">
      <c r="B1195" s="107"/>
    </row>
    <row r="1196" spans="2:2" s="105" customFormat="1">
      <c r="B1196" s="107"/>
    </row>
    <row r="1197" spans="2:2" s="105" customFormat="1">
      <c r="B1197" s="107"/>
    </row>
    <row r="1198" spans="2:2" s="105" customFormat="1">
      <c r="B1198" s="107"/>
    </row>
    <row r="1199" spans="2:2" s="105" customFormat="1">
      <c r="B1199" s="107"/>
    </row>
    <row r="1200" spans="2:2" s="105" customFormat="1">
      <c r="B1200" s="107"/>
    </row>
    <row r="1201" spans="2:2" s="105" customFormat="1">
      <c r="B1201" s="107"/>
    </row>
    <row r="1202" spans="2:2" s="105" customFormat="1">
      <c r="B1202" s="107"/>
    </row>
    <row r="1203" spans="2:2" s="105" customFormat="1">
      <c r="B1203" s="107"/>
    </row>
    <row r="1204" spans="2:2" s="105" customFormat="1">
      <c r="B1204" s="107"/>
    </row>
    <row r="1205" spans="2:2" s="105" customFormat="1">
      <c r="B1205" s="107"/>
    </row>
    <row r="1206" spans="2:2" s="105" customFormat="1">
      <c r="B1206" s="107"/>
    </row>
    <row r="1207" spans="2:2" s="105" customFormat="1">
      <c r="B1207" s="107"/>
    </row>
    <row r="1208" spans="2:2" s="105" customFormat="1">
      <c r="B1208" s="107"/>
    </row>
    <row r="1209" spans="2:2" s="105" customFormat="1">
      <c r="B1209" s="107"/>
    </row>
    <row r="1210" spans="2:2" s="105" customFormat="1">
      <c r="B1210" s="107"/>
    </row>
    <row r="1211" spans="2:2" s="105" customFormat="1">
      <c r="B1211" s="107"/>
    </row>
    <row r="1212" spans="2:2" s="105" customFormat="1">
      <c r="B1212" s="107"/>
    </row>
    <row r="1213" spans="2:2" s="105" customFormat="1">
      <c r="B1213" s="107"/>
    </row>
    <row r="1214" spans="2:2" s="105" customFormat="1">
      <c r="B1214" s="107"/>
    </row>
    <row r="1215" spans="2:2" s="105" customFormat="1">
      <c r="B1215" s="107"/>
    </row>
    <row r="1216" spans="2:2" s="105" customFormat="1">
      <c r="B1216" s="107"/>
    </row>
    <row r="1217" spans="2:12" s="105" customFormat="1">
      <c r="B1217" s="107"/>
    </row>
    <row r="1218" spans="2:12" s="105" customFormat="1">
      <c r="B1218" s="106"/>
      <c r="C1218" s="104"/>
      <c r="D1218" s="104"/>
      <c r="E1218" s="104"/>
      <c r="F1218" s="104"/>
      <c r="G1218" s="104"/>
      <c r="H1218" s="104"/>
      <c r="K1218" s="104"/>
      <c r="L1218" s="104"/>
    </row>
  </sheetData>
  <mergeCells count="14">
    <mergeCell ref="D331:L332"/>
    <mergeCell ref="N3:P3"/>
    <mergeCell ref="G223:H223"/>
    <mergeCell ref="G242:H242"/>
    <mergeCell ref="D275:J276"/>
    <mergeCell ref="D302:J302"/>
    <mergeCell ref="D304:J305"/>
    <mergeCell ref="D326:L327"/>
    <mergeCell ref="B20:I21"/>
    <mergeCell ref="D23:E24"/>
    <mergeCell ref="I48:J48"/>
    <mergeCell ref="I51:J51"/>
    <mergeCell ref="I120:J120"/>
    <mergeCell ref="I123:J123"/>
  </mergeCells>
  <printOptions horizontalCentered="1"/>
  <pageMargins left="0.25" right="0.25" top="1" bottom="1" header="0.65" footer="0.25"/>
  <pageSetup fitToHeight="0" orientation="portrait" horizontalDpi="1200" verticalDpi="1200" r:id="rId1"/>
  <headerFooter alignWithMargins="0">
    <oddHeader xml:space="preserve">&amp;R&amp;16AEPTCo - SPP Formula Rate
&amp;A - True-Up
Page: &amp;P of &amp;N
</oddHeader>
    <oddFooter>&amp;R &amp;C&amp;"Calibri,Regular"&amp;11&amp;B&amp;K000000AEP CONFIDENTIAL</oddFooter>
    <evenFooter>&amp;C&amp;"Calibri,Regular"&amp;11&amp;B&amp;K000000AEP CONFIDENTIAL</evenFooter>
    <firstFooter>&amp;C&amp;"Calibri,Regular"&amp;11&amp;B&amp;K000000AEP CONFIDENTIAL</firstFooter>
  </headerFooter>
  <rowBreaks count="4" manualBreakCount="4">
    <brk id="39" max="11" man="1"/>
    <brk id="112" max="11" man="1"/>
    <brk id="184" max="11" man="1"/>
    <brk id="249"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G17"/>
  <sheetViews>
    <sheetView zoomScaleNormal="100" workbookViewId="0">
      <selection activeCell="F4" sqref="F4"/>
    </sheetView>
  </sheetViews>
  <sheetFormatPr defaultRowHeight="15"/>
  <cols>
    <col min="1" max="1" width="5.5703125" customWidth="1"/>
    <col min="2" max="2" width="14" customWidth="1"/>
    <col min="3" max="3" width="24.140625" customWidth="1"/>
    <col min="4" max="4" width="18.28515625" customWidth="1"/>
    <col min="5" max="5" width="19.42578125" bestFit="1" customWidth="1"/>
    <col min="6" max="6" width="14.85546875" bestFit="1" customWidth="1"/>
    <col min="7" max="7" width="17" bestFit="1" customWidth="1"/>
  </cols>
  <sheetData>
    <row r="1" spans="1:7" ht="21">
      <c r="A1" s="2" t="s">
        <v>252</v>
      </c>
      <c r="G1" s="94"/>
    </row>
    <row r="3" spans="1:7">
      <c r="C3" s="91"/>
      <c r="D3" s="91"/>
      <c r="E3" s="91"/>
      <c r="F3" s="91"/>
      <c r="G3" s="91"/>
    </row>
    <row r="4" spans="1:7" ht="21">
      <c r="B4" s="2" t="s">
        <v>246</v>
      </c>
    </row>
    <row r="5" spans="1:7" ht="15.75">
      <c r="B5" s="96" t="s">
        <v>245</v>
      </c>
    </row>
    <row r="6" spans="1:7" ht="21">
      <c r="B6" s="2"/>
    </row>
    <row r="7" spans="1:7">
      <c r="B7" s="100" t="s">
        <v>0</v>
      </c>
      <c r="C7" s="102" t="s">
        <v>247</v>
      </c>
      <c r="D7" s="102" t="s">
        <v>248</v>
      </c>
      <c r="E7" s="101" t="s">
        <v>249</v>
      </c>
    </row>
    <row r="8" spans="1:7">
      <c r="B8" s="99">
        <v>2013</v>
      </c>
      <c r="C8" s="1">
        <f>'OKT 2013 True-Up TCOS'!P11</f>
        <v>575139.6885221824</v>
      </c>
      <c r="D8" s="1">
        <f>Interest!J6</f>
        <v>8624.3174149627448</v>
      </c>
      <c r="E8" s="1">
        <f>C8+D8</f>
        <v>583764.00593714509</v>
      </c>
    </row>
    <row r="9" spans="1:7">
      <c r="B9" s="99">
        <v>2014</v>
      </c>
      <c r="C9" s="1">
        <f>'OKT 2014 True-Up TCOS'!P11</f>
        <v>1516313.9862583429</v>
      </c>
      <c r="D9" s="1">
        <f>Interest!J7</f>
        <v>41942.196509998212</v>
      </c>
      <c r="E9" s="1">
        <f t="shared" ref="E9:E14" si="0">C9+D9</f>
        <v>1558256.1827683412</v>
      </c>
    </row>
    <row r="10" spans="1:7">
      <c r="B10" s="99">
        <v>2015</v>
      </c>
      <c r="C10" s="1">
        <f>'OKT 2015 True-Up TCOS'!P11</f>
        <v>2342258.2118259445</v>
      </c>
      <c r="D10" s="1">
        <f>Interest!J8</f>
        <v>105591.26211654188</v>
      </c>
      <c r="E10" s="1">
        <f t="shared" si="0"/>
        <v>2447849.4739424866</v>
      </c>
    </row>
    <row r="11" spans="1:7">
      <c r="B11" s="99">
        <v>2016</v>
      </c>
      <c r="C11" s="1">
        <f>'OKT 2016 True-Up TCOS'!P11</f>
        <v>3908075.5845491812</v>
      </c>
      <c r="D11" s="1">
        <f>Interest!J9</f>
        <v>213897.27925788556</v>
      </c>
      <c r="E11" s="1">
        <f t="shared" si="0"/>
        <v>4121972.8638070668</v>
      </c>
    </row>
    <row r="12" spans="1:7">
      <c r="B12" s="99">
        <v>2017</v>
      </c>
      <c r="C12" s="1">
        <f>'OKT 2017 True-Up TCOS - 11.2%'!P11/365*'OKT 2017 True-Up TCOS - 11.2%'!P6+'OKT 2017 True-Up TCOS - 10.5%'!P11/365*'OKT 2017 True-Up TCOS - 10.5%'!P6</f>
        <v>5399404.8037724979</v>
      </c>
      <c r="D12" s="1">
        <f>Interest!J10</f>
        <v>405761.59794953413</v>
      </c>
      <c r="E12" s="1">
        <f t="shared" si="0"/>
        <v>5805166.4017220316</v>
      </c>
    </row>
    <row r="13" spans="1:7">
      <c r="B13" s="99" t="s">
        <v>250</v>
      </c>
      <c r="C13" s="97">
        <v>0</v>
      </c>
      <c r="D13" s="1">
        <f>Interest!J11</f>
        <v>617568.89920976607</v>
      </c>
      <c r="E13" s="1">
        <f t="shared" si="0"/>
        <v>617568.89920976607</v>
      </c>
    </row>
    <row r="14" spans="1:7">
      <c r="B14" s="99" t="s">
        <v>251</v>
      </c>
      <c r="C14" s="97">
        <v>0</v>
      </c>
      <c r="D14" s="1">
        <f>Interest!J12</f>
        <v>363411.86514596845</v>
      </c>
      <c r="E14" s="1">
        <f t="shared" si="0"/>
        <v>363411.86514596845</v>
      </c>
    </row>
    <row r="15" spans="1:7">
      <c r="B15" s="99" t="s">
        <v>249</v>
      </c>
      <c r="C15" s="98"/>
      <c r="D15" s="98"/>
      <c r="E15" s="1">
        <f>SUM(E8:E14)</f>
        <v>15497989.692532804</v>
      </c>
    </row>
    <row r="17" spans="2:2">
      <c r="B17" t="s">
        <v>544</v>
      </c>
    </row>
  </sheetData>
  <pageMargins left="0.7" right="0.7" top="0.75" bottom="0.75" header="0.3" footer="0.3"/>
  <pageSetup fitToWidth="0" orientation="landscape"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R99"/>
  <sheetViews>
    <sheetView topLeftCell="A67" zoomScale="85" zoomScaleNormal="85" workbookViewId="0">
      <selection activeCell="J38" sqref="J38"/>
    </sheetView>
  </sheetViews>
  <sheetFormatPr defaultColWidth="9.140625" defaultRowHeight="12.75"/>
  <cols>
    <col min="1" max="1" width="1.7109375" style="40" customWidth="1"/>
    <col min="2" max="2" width="25.140625" style="40" customWidth="1"/>
    <col min="3" max="3" width="8.7109375" style="40" customWidth="1"/>
    <col min="4" max="4" width="22.5703125" style="40" customWidth="1"/>
    <col min="5" max="5" width="1.7109375" style="40" customWidth="1"/>
    <col min="6" max="6" width="24.85546875" style="40" customWidth="1"/>
    <col min="7" max="7" width="1.7109375" style="40" customWidth="1"/>
    <col min="8" max="8" width="21.42578125" style="40" customWidth="1"/>
    <col min="9" max="9" width="1.7109375" style="40" customWidth="1"/>
    <col min="10" max="10" width="21" style="40" customWidth="1"/>
    <col min="11" max="11" width="1.7109375" style="40" customWidth="1"/>
    <col min="12" max="12" width="18.28515625" style="40" customWidth="1"/>
    <col min="13" max="13" width="1.7109375" style="40" customWidth="1"/>
    <col min="14" max="14" width="17" style="40" customWidth="1"/>
    <col min="15" max="15" width="1.7109375" style="40" customWidth="1"/>
    <col min="16" max="16" width="18.140625" style="40" customWidth="1"/>
    <col min="17" max="17" width="7.7109375" style="40" bestFit="1" customWidth="1"/>
    <col min="18" max="18" width="3" style="40" bestFit="1" customWidth="1"/>
    <col min="19" max="19" width="9.140625" style="40"/>
    <col min="20" max="20" width="3" style="40" bestFit="1" customWidth="1"/>
    <col min="21" max="16384" width="9.140625" style="40"/>
  </cols>
  <sheetData>
    <row r="1" spans="2:16">
      <c r="B1" s="48"/>
      <c r="C1" s="48"/>
      <c r="D1" s="48"/>
      <c r="E1" s="48"/>
      <c r="F1" s="48"/>
      <c r="G1" s="48"/>
      <c r="H1" s="48"/>
      <c r="I1" s="48"/>
      <c r="J1" s="48"/>
      <c r="K1" s="48"/>
      <c r="L1" s="48"/>
      <c r="M1" s="48"/>
      <c r="N1" s="48"/>
      <c r="O1" s="48"/>
      <c r="P1" s="48"/>
    </row>
    <row r="2" spans="2:16" ht="15.75">
      <c r="B2" s="92" t="s">
        <v>242</v>
      </c>
      <c r="C2" s="48"/>
      <c r="D2" s="48"/>
      <c r="E2" s="48"/>
      <c r="F2" s="48"/>
      <c r="G2" s="48"/>
      <c r="H2" s="48"/>
      <c r="I2" s="48"/>
      <c r="J2" s="48"/>
      <c r="K2" s="48"/>
      <c r="L2" s="48"/>
      <c r="M2" s="48"/>
      <c r="N2" s="48"/>
      <c r="O2" s="48"/>
      <c r="P2" s="48"/>
    </row>
    <row r="3" spans="2:16" ht="15.75">
      <c r="B3" s="93" t="s">
        <v>244</v>
      </c>
      <c r="C3" s="49"/>
      <c r="D3" s="49"/>
      <c r="E3" s="50"/>
      <c r="F3" s="50"/>
      <c r="G3" s="50"/>
      <c r="H3" s="50"/>
      <c r="I3" s="50"/>
      <c r="J3" s="50"/>
      <c r="K3" s="50"/>
      <c r="O3" s="50"/>
      <c r="P3" s="50"/>
    </row>
    <row r="4" spans="2:16" ht="15.75">
      <c r="B4" s="49"/>
      <c r="C4" s="49"/>
      <c r="D4" s="49"/>
      <c r="E4" s="51"/>
      <c r="F4" s="51"/>
      <c r="G4" s="52"/>
      <c r="H4"/>
      <c r="I4"/>
      <c r="J4"/>
      <c r="K4" s="50"/>
      <c r="O4" s="52"/>
      <c r="P4" s="52"/>
    </row>
    <row r="5" spans="2:16" ht="45">
      <c r="B5" s="88" t="s">
        <v>0</v>
      </c>
      <c r="C5" s="86"/>
      <c r="D5" s="86" t="s">
        <v>238</v>
      </c>
      <c r="E5" s="88"/>
      <c r="F5" s="90"/>
      <c r="G5" s="89"/>
      <c r="H5" s="90"/>
      <c r="I5" s="87"/>
      <c r="J5" s="90" t="s">
        <v>241</v>
      </c>
      <c r="L5" s="90" t="s">
        <v>243</v>
      </c>
      <c r="O5" s="52"/>
      <c r="P5" s="52"/>
    </row>
    <row r="6" spans="2:16" ht="15.75">
      <c r="B6" s="49">
        <v>2013</v>
      </c>
      <c r="C6" s="49"/>
      <c r="D6" s="83">
        <f>+'Refund Calculation'!C8</f>
        <v>575139.6885221824</v>
      </c>
      <c r="E6" s="73"/>
      <c r="F6" s="83"/>
      <c r="G6" s="84"/>
      <c r="H6" s="83"/>
      <c r="I6" s="85"/>
      <c r="J6" s="83">
        <f t="shared" ref="J6:J12" si="0">SUMIF($C$21:$C$98,B6,$N$21:$N$98)</f>
        <v>8624.3174149627448</v>
      </c>
      <c r="L6" s="83">
        <f>+J6+D6</f>
        <v>583764.00593714509</v>
      </c>
      <c r="O6" s="52"/>
      <c r="P6" s="52"/>
    </row>
    <row r="7" spans="2:16" ht="15.75">
      <c r="B7" s="49">
        <v>2014</v>
      </c>
      <c r="C7" s="49"/>
      <c r="D7" s="83">
        <f>+'Refund Calculation'!C9</f>
        <v>1516313.9862583429</v>
      </c>
      <c r="E7" s="73"/>
      <c r="F7" s="83"/>
      <c r="G7" s="84"/>
      <c r="H7" s="83"/>
      <c r="I7" s="85"/>
      <c r="J7" s="83">
        <f t="shared" si="0"/>
        <v>41942.196509998212</v>
      </c>
      <c r="L7" s="83">
        <f t="shared" ref="L7:L9" si="1">+J7+D7</f>
        <v>1558256.1827683412</v>
      </c>
      <c r="O7" s="52"/>
      <c r="P7" s="52"/>
    </row>
    <row r="8" spans="2:16" ht="15.75">
      <c r="B8" s="49">
        <v>2015</v>
      </c>
      <c r="C8" s="49"/>
      <c r="D8" s="83">
        <f>+'Refund Calculation'!C10</f>
        <v>2342258.2118259445</v>
      </c>
      <c r="E8" s="73"/>
      <c r="F8" s="83"/>
      <c r="G8" s="84"/>
      <c r="H8" s="83"/>
      <c r="I8" s="85"/>
      <c r="J8" s="83">
        <f t="shared" si="0"/>
        <v>105591.26211654188</v>
      </c>
      <c r="L8" s="83">
        <f t="shared" si="1"/>
        <v>2447849.4739424866</v>
      </c>
      <c r="O8" s="52"/>
      <c r="P8" s="52"/>
    </row>
    <row r="9" spans="2:16" ht="15.75">
      <c r="B9" s="49">
        <v>2016</v>
      </c>
      <c r="C9" s="49"/>
      <c r="D9" s="83">
        <f>+'Refund Calculation'!C11</f>
        <v>3908075.5845491812</v>
      </c>
      <c r="E9" s="73"/>
      <c r="F9" s="83"/>
      <c r="G9" s="84"/>
      <c r="H9" s="83"/>
      <c r="I9" s="85"/>
      <c r="J9" s="83">
        <f t="shared" si="0"/>
        <v>213897.27925788556</v>
      </c>
      <c r="L9" s="83">
        <f t="shared" si="1"/>
        <v>4121972.8638070668</v>
      </c>
      <c r="O9" s="52"/>
      <c r="P9" s="52"/>
    </row>
    <row r="10" spans="2:16" ht="15.75">
      <c r="B10" s="49">
        <v>2017</v>
      </c>
      <c r="C10" s="49"/>
      <c r="D10" s="83">
        <f>+'Refund Calculation'!C12</f>
        <v>5399404.8037724979</v>
      </c>
      <c r="E10" s="73"/>
      <c r="F10" s="83"/>
      <c r="G10" s="84"/>
      <c r="H10" s="83"/>
      <c r="I10" s="85"/>
      <c r="J10" s="83">
        <f t="shared" si="0"/>
        <v>405761.59794953413</v>
      </c>
      <c r="L10" s="83">
        <f>+J10+D10</f>
        <v>5805166.4017220316</v>
      </c>
      <c r="O10" s="52"/>
      <c r="P10" s="52"/>
    </row>
    <row r="11" spans="2:16" ht="15.75">
      <c r="B11" s="49">
        <v>2018</v>
      </c>
      <c r="C11" s="49"/>
      <c r="D11" s="83">
        <v>0</v>
      </c>
      <c r="E11" s="73"/>
      <c r="F11" s="83"/>
      <c r="G11" s="84"/>
      <c r="H11" s="83"/>
      <c r="I11" s="85"/>
      <c r="J11" s="83">
        <f t="shared" si="0"/>
        <v>617568.89920976607</v>
      </c>
      <c r="L11" s="83">
        <f t="shared" ref="L11:L12" si="2">+J11+D11</f>
        <v>617568.89920976607</v>
      </c>
      <c r="O11" s="52"/>
      <c r="P11" s="52"/>
    </row>
    <row r="12" spans="2:16" ht="15.75">
      <c r="B12" s="49">
        <v>2019</v>
      </c>
      <c r="C12" s="49"/>
      <c r="D12" s="83">
        <v>0</v>
      </c>
      <c r="E12" s="73"/>
      <c r="F12" s="83"/>
      <c r="G12" s="84"/>
      <c r="H12" s="83"/>
      <c r="I12" s="85"/>
      <c r="J12" s="83">
        <f t="shared" si="0"/>
        <v>363411.86514596845</v>
      </c>
      <c r="L12" s="83">
        <f t="shared" si="2"/>
        <v>363411.86514596845</v>
      </c>
      <c r="O12" s="52"/>
      <c r="P12" s="52"/>
    </row>
    <row r="13" spans="2:16" ht="15.75">
      <c r="B13" s="49"/>
      <c r="C13" s="49"/>
      <c r="D13" s="49"/>
      <c r="F13" s="49"/>
      <c r="G13" s="55"/>
      <c r="H13" s="49"/>
      <c r="I13" s="53"/>
      <c r="J13" s="54"/>
      <c r="L13" s="49"/>
      <c r="O13" s="52"/>
      <c r="P13" s="52"/>
    </row>
    <row r="14" spans="2:16" ht="15.75">
      <c r="B14" s="80" t="s">
        <v>240</v>
      </c>
      <c r="C14" s="81"/>
      <c r="D14" s="80">
        <f>+SUM(D6:D13)</f>
        <v>13741192.274928149</v>
      </c>
      <c r="E14" s="82"/>
      <c r="F14" s="80">
        <f>+SUM(F6:F13)</f>
        <v>0</v>
      </c>
      <c r="G14" s="80"/>
      <c r="H14" s="80">
        <f>+SUM(H6:H13)</f>
        <v>0</v>
      </c>
      <c r="I14" s="80"/>
      <c r="J14" s="80">
        <f>+SUM(J6:J13)</f>
        <v>1756797.4176046571</v>
      </c>
      <c r="L14" s="80">
        <f>+SUM(L6:L13)</f>
        <v>15497989.692532804</v>
      </c>
      <c r="O14" s="52"/>
      <c r="P14" s="52"/>
    </row>
    <row r="15" spans="2:16" ht="16.5" thickBot="1">
      <c r="B15" s="58"/>
      <c r="C15" s="59"/>
      <c r="D15" s="58"/>
      <c r="E15" s="58"/>
      <c r="F15" s="58"/>
      <c r="G15" s="58"/>
      <c r="H15" s="58"/>
      <c r="I15" s="58"/>
      <c r="J15" s="58"/>
      <c r="K15" s="58"/>
      <c r="L15" s="58"/>
      <c r="M15" s="58"/>
      <c r="N15" s="60"/>
      <c r="O15" s="60"/>
      <c r="P15" s="60"/>
    </row>
    <row r="16" spans="2:16" ht="15.75">
      <c r="B16" s="61"/>
      <c r="C16" s="57"/>
      <c r="D16" s="56"/>
      <c r="E16" s="56"/>
      <c r="F16" s="56"/>
      <c r="G16" s="56"/>
      <c r="H16" s="56"/>
      <c r="I16" s="56"/>
      <c r="J16" s="56"/>
      <c r="K16" s="56"/>
      <c r="L16" s="56"/>
      <c r="M16" s="56"/>
      <c r="N16" s="52"/>
      <c r="O16" s="52"/>
      <c r="P16" s="52"/>
    </row>
    <row r="17" spans="2:18" ht="63">
      <c r="B17" s="74" t="s">
        <v>1</v>
      </c>
      <c r="C17" s="74" t="s">
        <v>0</v>
      </c>
      <c r="D17" s="75" t="s">
        <v>230</v>
      </c>
      <c r="E17" s="75"/>
      <c r="F17" s="75" t="s">
        <v>231</v>
      </c>
      <c r="G17" s="75"/>
      <c r="H17" s="75" t="s">
        <v>232</v>
      </c>
      <c r="I17" s="76"/>
      <c r="J17" s="77" t="s">
        <v>233</v>
      </c>
      <c r="K17" s="76"/>
      <c r="L17" s="75" t="s">
        <v>234</v>
      </c>
      <c r="M17" s="78"/>
      <c r="N17" s="77" t="s">
        <v>235</v>
      </c>
      <c r="O17" s="79"/>
      <c r="P17" s="75" t="s">
        <v>236</v>
      </c>
    </row>
    <row r="18" spans="2:18" ht="15.75">
      <c r="B18" s="63"/>
      <c r="C18" s="57"/>
      <c r="D18" s="52"/>
      <c r="E18" s="52"/>
      <c r="F18" s="52"/>
      <c r="G18" s="52"/>
      <c r="H18" s="52"/>
      <c r="I18" s="64"/>
      <c r="J18" s="64"/>
      <c r="K18" s="64"/>
      <c r="N18" s="52"/>
      <c r="O18" s="52"/>
      <c r="P18" s="52"/>
    </row>
    <row r="19" spans="2:18" ht="15.75">
      <c r="B19" s="65" t="s">
        <v>237</v>
      </c>
      <c r="C19" s="57"/>
      <c r="D19" s="57"/>
      <c r="E19" s="57"/>
      <c r="F19" s="57"/>
      <c r="G19" s="57"/>
      <c r="H19" s="57"/>
      <c r="I19" s="57"/>
      <c r="J19" s="57"/>
      <c r="K19" s="57"/>
      <c r="L19" s="52"/>
      <c r="M19" s="52"/>
      <c r="N19" s="62"/>
      <c r="O19" s="57"/>
      <c r="P19" s="57"/>
    </row>
    <row r="20" spans="2:18" ht="15.75">
      <c r="B20" s="66" t="s">
        <v>239</v>
      </c>
      <c r="C20" s="57"/>
      <c r="D20" s="57"/>
      <c r="E20" s="57"/>
      <c r="F20" s="57"/>
      <c r="G20" s="57"/>
      <c r="H20" s="57"/>
      <c r="I20" s="57"/>
      <c r="J20" s="57"/>
      <c r="K20" s="57"/>
      <c r="L20" s="52"/>
      <c r="M20" s="52"/>
      <c r="N20" s="62"/>
      <c r="O20" s="57"/>
      <c r="P20" s="57"/>
    </row>
    <row r="21" spans="2:18" ht="15.75">
      <c r="B21" s="67">
        <f>DATE($B$6,R21,1)</f>
        <v>41275</v>
      </c>
      <c r="C21" s="50">
        <f>+YEAR(B21)</f>
        <v>2013</v>
      </c>
      <c r="D21" s="68">
        <f t="shared" ref="D21:D32" si="3">$D$6/12</f>
        <v>47928.307376848534</v>
      </c>
      <c r="E21" s="69"/>
      <c r="F21" s="68">
        <v>0</v>
      </c>
      <c r="G21" s="68"/>
      <c r="H21" s="68">
        <v>0</v>
      </c>
      <c r="I21" s="68"/>
      <c r="J21" s="68">
        <f>F21+H21</f>
        <v>0</v>
      </c>
      <c r="K21" s="69"/>
      <c r="L21" s="70">
        <f>+'Prime Rate'!I770/12</f>
        <v>2.708333333333333E-3</v>
      </c>
      <c r="M21" s="71"/>
      <c r="N21" s="68">
        <f t="shared" ref="N21:N32" si="4">J21*L21</f>
        <v>0</v>
      </c>
      <c r="O21" s="68"/>
      <c r="P21" s="68">
        <f>D21+N21</f>
        <v>47928.307376848534</v>
      </c>
      <c r="R21" s="40">
        <v>1</v>
      </c>
    </row>
    <row r="22" spans="2:18" ht="15.75">
      <c r="B22" s="67">
        <f t="shared" ref="B22:B32" si="5">DATE($B$6,R22,1)</f>
        <v>41306</v>
      </c>
      <c r="C22" s="50">
        <f t="shared" ref="C22:C85" si="6">+YEAR(B22)</f>
        <v>2013</v>
      </c>
      <c r="D22" s="68">
        <f t="shared" si="3"/>
        <v>47928.307376848534</v>
      </c>
      <c r="E22" s="69"/>
      <c r="F22" s="68">
        <f>D21</f>
        <v>47928.307376848534</v>
      </c>
      <c r="G22" s="68"/>
      <c r="H22" s="68">
        <v>0</v>
      </c>
      <c r="I22" s="68"/>
      <c r="J22" s="68">
        <f t="shared" ref="J22:J31" si="7">F22+H22</f>
        <v>47928.307376848534</v>
      </c>
      <c r="K22" s="69"/>
      <c r="L22" s="70">
        <f>+'Prime Rate'!I771/12</f>
        <v>2.708333333333333E-3</v>
      </c>
      <c r="M22" s="72"/>
      <c r="N22" s="68">
        <f t="shared" si="4"/>
        <v>129.80583247896476</v>
      </c>
      <c r="O22" s="68"/>
      <c r="P22" s="68">
        <f>SUM($D$21:D22)+SUM($N$21:N22)</f>
        <v>95986.420586176027</v>
      </c>
      <c r="R22" s="40">
        <v>2</v>
      </c>
    </row>
    <row r="23" spans="2:18" ht="15.75">
      <c r="B23" s="67">
        <f t="shared" si="5"/>
        <v>41334</v>
      </c>
      <c r="C23" s="50">
        <f t="shared" si="6"/>
        <v>2013</v>
      </c>
      <c r="D23" s="68">
        <f t="shared" si="3"/>
        <v>47928.307376848534</v>
      </c>
      <c r="E23" s="69"/>
      <c r="F23" s="68">
        <f>D22+F22</f>
        <v>95856.614753697067</v>
      </c>
      <c r="G23" s="68"/>
      <c r="H23" s="68">
        <v>0</v>
      </c>
      <c r="I23" s="68"/>
      <c r="J23" s="68">
        <f t="shared" si="7"/>
        <v>95856.614753697067</v>
      </c>
      <c r="K23" s="69"/>
      <c r="L23" s="70">
        <f>+'Prime Rate'!I772/12</f>
        <v>2.708333333333333E-3</v>
      </c>
      <c r="M23" s="72"/>
      <c r="N23" s="68">
        <f>J23*L23</f>
        <v>259.61166495792952</v>
      </c>
      <c r="O23" s="68"/>
      <c r="P23" s="68">
        <f>SUM($D$21:D23)+SUM($N$21:N23)</f>
        <v>144174.3396279825</v>
      </c>
      <c r="R23" s="40">
        <v>3</v>
      </c>
    </row>
    <row r="24" spans="2:18" ht="15.75">
      <c r="B24" s="67">
        <f t="shared" si="5"/>
        <v>41365</v>
      </c>
      <c r="C24" s="50">
        <f t="shared" si="6"/>
        <v>2013</v>
      </c>
      <c r="D24" s="68">
        <f t="shared" si="3"/>
        <v>47928.307376848534</v>
      </c>
      <c r="E24" s="69"/>
      <c r="F24" s="68">
        <f t="shared" ref="F24:F30" si="8">D23+F23</f>
        <v>143784.9221305456</v>
      </c>
      <c r="G24" s="68"/>
      <c r="H24" s="68">
        <f>SUM($N$21:$N$23)</f>
        <v>389.41749743689428</v>
      </c>
      <c r="I24" s="68"/>
      <c r="J24" s="68">
        <f t="shared" si="7"/>
        <v>144174.3396279825</v>
      </c>
      <c r="K24" s="69"/>
      <c r="L24" s="70">
        <f>+'Prime Rate'!I773/12</f>
        <v>2.708333333333333E-3</v>
      </c>
      <c r="M24" s="72"/>
      <c r="N24" s="68">
        <f t="shared" si="4"/>
        <v>390.4721698257859</v>
      </c>
      <c r="O24" s="68"/>
      <c r="P24" s="68">
        <f>SUM($D$21:D24)+SUM($N$21:N24)</f>
        <v>192493.11917465681</v>
      </c>
      <c r="R24" s="40">
        <v>4</v>
      </c>
    </row>
    <row r="25" spans="2:18" ht="15.75">
      <c r="B25" s="67">
        <f t="shared" si="5"/>
        <v>41395</v>
      </c>
      <c r="C25" s="50">
        <f t="shared" si="6"/>
        <v>2013</v>
      </c>
      <c r="D25" s="68">
        <f t="shared" si="3"/>
        <v>47928.307376848534</v>
      </c>
      <c r="E25" s="69"/>
      <c r="F25" s="68">
        <f t="shared" si="8"/>
        <v>191713.22950739413</v>
      </c>
      <c r="G25" s="68"/>
      <c r="H25" s="68">
        <f t="shared" ref="H25:H26" si="9">SUM($N$21:$N$23)</f>
        <v>389.41749743689428</v>
      </c>
      <c r="I25" s="68"/>
      <c r="J25" s="68">
        <f>F25+H25</f>
        <v>192102.64700483103</v>
      </c>
      <c r="K25" s="69"/>
      <c r="L25" s="70">
        <f>+'Prime Rate'!I774/12</f>
        <v>2.708333333333333E-3</v>
      </c>
      <c r="M25" s="72"/>
      <c r="N25" s="68">
        <f t="shared" si="4"/>
        <v>520.27800230475066</v>
      </c>
      <c r="O25" s="68"/>
      <c r="P25" s="68">
        <f>SUM($D$21:D25)+SUM($N$21:N25)</f>
        <v>240941.70455381009</v>
      </c>
      <c r="R25" s="40">
        <v>5</v>
      </c>
    </row>
    <row r="26" spans="2:18" ht="15.75">
      <c r="B26" s="67">
        <f t="shared" si="5"/>
        <v>41426</v>
      </c>
      <c r="C26" s="50">
        <f t="shared" si="6"/>
        <v>2013</v>
      </c>
      <c r="D26" s="68">
        <f t="shared" si="3"/>
        <v>47928.307376848534</v>
      </c>
      <c r="E26" s="69"/>
      <c r="F26" s="68">
        <f>D25+F25</f>
        <v>239641.53688424267</v>
      </c>
      <c r="G26" s="68"/>
      <c r="H26" s="68">
        <f t="shared" si="9"/>
        <v>389.41749743689428</v>
      </c>
      <c r="I26" s="68"/>
      <c r="J26" s="68">
        <f t="shared" si="7"/>
        <v>240030.95438167956</v>
      </c>
      <c r="K26" s="69"/>
      <c r="L26" s="70">
        <f>+'Prime Rate'!I775/12</f>
        <v>2.708333333333333E-3</v>
      </c>
      <c r="M26" s="72"/>
      <c r="N26" s="68">
        <f t="shared" si="4"/>
        <v>650.08383478371536</v>
      </c>
      <c r="O26" s="68"/>
      <c r="P26" s="68">
        <f>SUM($D$21:D26)+SUM($N$21:N26)</f>
        <v>289520.09576544235</v>
      </c>
      <c r="R26" s="40">
        <v>6</v>
      </c>
    </row>
    <row r="27" spans="2:18" ht="15.75">
      <c r="B27" s="67">
        <f t="shared" si="5"/>
        <v>41456</v>
      </c>
      <c r="C27" s="50">
        <f t="shared" si="6"/>
        <v>2013</v>
      </c>
      <c r="D27" s="68">
        <f t="shared" si="3"/>
        <v>47928.307376848534</v>
      </c>
      <c r="E27" s="69"/>
      <c r="F27" s="68">
        <f t="shared" si="8"/>
        <v>287569.8442610912</v>
      </c>
      <c r="G27" s="68"/>
      <c r="H27" s="68">
        <f>$H$26+SUM($N$24:$N$26)</f>
        <v>1950.2515043511462</v>
      </c>
      <c r="I27" s="68"/>
      <c r="J27" s="68">
        <f t="shared" si="7"/>
        <v>289520.09576544235</v>
      </c>
      <c r="K27" s="69"/>
      <c r="L27" s="70">
        <f>+'Prime Rate'!I776/12</f>
        <v>2.708333333333333E-3</v>
      </c>
      <c r="M27" s="72"/>
      <c r="N27" s="68">
        <f t="shared" si="4"/>
        <v>784.11692603140625</v>
      </c>
      <c r="O27" s="68"/>
      <c r="P27" s="68">
        <f>SUM($D$21:D27)+SUM($N$21:N27)</f>
        <v>338232.52006832231</v>
      </c>
      <c r="R27" s="40">
        <v>7</v>
      </c>
    </row>
    <row r="28" spans="2:18" ht="15.75">
      <c r="B28" s="67">
        <f t="shared" si="5"/>
        <v>41487</v>
      </c>
      <c r="C28" s="50">
        <f t="shared" si="6"/>
        <v>2013</v>
      </c>
      <c r="D28" s="68">
        <f t="shared" si="3"/>
        <v>47928.307376848534</v>
      </c>
      <c r="E28" s="69"/>
      <c r="F28" s="68">
        <f t="shared" si="8"/>
        <v>335498.15163793974</v>
      </c>
      <c r="G28" s="68"/>
      <c r="H28" s="68">
        <f>$H$26+SUM($N$24:$N$26)</f>
        <v>1950.2515043511462</v>
      </c>
      <c r="I28" s="68"/>
      <c r="J28" s="68">
        <f t="shared" si="7"/>
        <v>337448.40314229089</v>
      </c>
      <c r="K28" s="69"/>
      <c r="L28" s="70">
        <f>+'Prime Rate'!I777/12</f>
        <v>2.708333333333333E-3</v>
      </c>
      <c r="M28" s="72"/>
      <c r="N28" s="68">
        <f t="shared" si="4"/>
        <v>913.92275851037107</v>
      </c>
      <c r="O28" s="68"/>
      <c r="P28" s="68">
        <f>SUM($D$21:D28)+SUM($N$21:N28)</f>
        <v>387074.75020368118</v>
      </c>
      <c r="R28" s="40">
        <v>8</v>
      </c>
    </row>
    <row r="29" spans="2:18" ht="15.75">
      <c r="B29" s="67">
        <f t="shared" si="5"/>
        <v>41518</v>
      </c>
      <c r="C29" s="50">
        <f t="shared" si="6"/>
        <v>2013</v>
      </c>
      <c r="D29" s="68">
        <f t="shared" si="3"/>
        <v>47928.307376848534</v>
      </c>
      <c r="E29" s="69"/>
      <c r="F29" s="68">
        <f t="shared" si="8"/>
        <v>383426.45901478827</v>
      </c>
      <c r="G29" s="68"/>
      <c r="H29" s="68">
        <f>$H$26+SUM($N$24:$N$26)</f>
        <v>1950.2515043511462</v>
      </c>
      <c r="I29" s="68"/>
      <c r="J29" s="68">
        <f t="shared" si="7"/>
        <v>385376.71051913942</v>
      </c>
      <c r="K29" s="69"/>
      <c r="L29" s="70">
        <f>+'Prime Rate'!I778/12</f>
        <v>2.708333333333333E-3</v>
      </c>
      <c r="M29" s="72"/>
      <c r="N29" s="68">
        <f t="shared" si="4"/>
        <v>1043.7285909893358</v>
      </c>
      <c r="O29" s="68"/>
      <c r="P29" s="68">
        <f>SUM($D$21:D29)+SUM($N$21:N29)</f>
        <v>436046.78617151908</v>
      </c>
      <c r="R29" s="40">
        <v>9</v>
      </c>
    </row>
    <row r="30" spans="2:18" ht="15.75">
      <c r="B30" s="67">
        <f t="shared" si="5"/>
        <v>41548</v>
      </c>
      <c r="C30" s="50">
        <f t="shared" si="6"/>
        <v>2013</v>
      </c>
      <c r="D30" s="68">
        <f t="shared" si="3"/>
        <v>47928.307376848534</v>
      </c>
      <c r="E30" s="69"/>
      <c r="F30" s="68">
        <f t="shared" si="8"/>
        <v>431354.7663916368</v>
      </c>
      <c r="G30" s="68"/>
      <c r="H30" s="68">
        <f>H29+SUM(N27:N29)</f>
        <v>4692.0197798822592</v>
      </c>
      <c r="I30" s="68"/>
      <c r="J30" s="68">
        <f t="shared" si="7"/>
        <v>436046.78617151908</v>
      </c>
      <c r="K30" s="69"/>
      <c r="L30" s="70">
        <f>+'Prime Rate'!I779/12</f>
        <v>2.708333333333333E-3</v>
      </c>
      <c r="M30" s="72"/>
      <c r="N30" s="68">
        <f t="shared" si="4"/>
        <v>1180.9600458811974</v>
      </c>
      <c r="O30" s="68"/>
      <c r="P30" s="68">
        <f>SUM($D$21:D30)+SUM($N$21:N30)</f>
        <v>485156.05359424878</v>
      </c>
      <c r="R30" s="40">
        <v>10</v>
      </c>
    </row>
    <row r="31" spans="2:18" ht="15.75">
      <c r="B31" s="67">
        <f t="shared" si="5"/>
        <v>41579</v>
      </c>
      <c r="C31" s="50">
        <f t="shared" si="6"/>
        <v>2013</v>
      </c>
      <c r="D31" s="68">
        <f t="shared" si="3"/>
        <v>47928.307376848534</v>
      </c>
      <c r="E31" s="69"/>
      <c r="F31" s="68">
        <f>D30+F30</f>
        <v>479283.07376848534</v>
      </c>
      <c r="G31" s="68"/>
      <c r="H31" s="68">
        <f>H29+SUM(N27:N29)</f>
        <v>4692.0197798822592</v>
      </c>
      <c r="I31" s="68"/>
      <c r="J31" s="68">
        <f t="shared" si="7"/>
        <v>483975.09354836761</v>
      </c>
      <c r="K31" s="69"/>
      <c r="L31" s="70">
        <f>+'Prime Rate'!I780/12</f>
        <v>2.708333333333333E-3</v>
      </c>
      <c r="M31" s="72"/>
      <c r="N31" s="68">
        <f t="shared" si="4"/>
        <v>1310.7658783601621</v>
      </c>
      <c r="O31" s="68"/>
      <c r="P31" s="68">
        <f>SUM($D$21:D31)+SUM($N$21:N31)</f>
        <v>534395.12684945751</v>
      </c>
      <c r="R31" s="40">
        <v>11</v>
      </c>
    </row>
    <row r="32" spans="2:18" ht="15.75">
      <c r="B32" s="67">
        <f t="shared" si="5"/>
        <v>41609</v>
      </c>
      <c r="C32" s="50">
        <f t="shared" si="6"/>
        <v>2013</v>
      </c>
      <c r="D32" s="68">
        <f t="shared" si="3"/>
        <v>47928.307376848534</v>
      </c>
      <c r="E32" s="69"/>
      <c r="F32" s="68">
        <f>D31+F31</f>
        <v>527211.38114533387</v>
      </c>
      <c r="G32" s="68"/>
      <c r="H32" s="68">
        <f>H29+SUM(N27:N29)</f>
        <v>4692.0197798822592</v>
      </c>
      <c r="I32" s="68"/>
      <c r="J32" s="68">
        <f>F32+H32</f>
        <v>531903.40092521615</v>
      </c>
      <c r="K32" s="69"/>
      <c r="L32" s="70">
        <f>+'Prime Rate'!I781/12</f>
        <v>2.708333333333333E-3</v>
      </c>
      <c r="M32" s="72"/>
      <c r="N32" s="68">
        <f t="shared" si="4"/>
        <v>1440.5717108391268</v>
      </c>
      <c r="O32" s="68"/>
      <c r="P32" s="68">
        <f>SUM($D$21:D32)+SUM($N$21:N32)</f>
        <v>583764.00593714509</v>
      </c>
      <c r="R32" s="40">
        <v>12</v>
      </c>
    </row>
    <row r="33" spans="2:18" ht="15.75">
      <c r="B33" s="67">
        <f>DATE($B$7,R33,1)</f>
        <v>41640</v>
      </c>
      <c r="C33" s="50">
        <f t="shared" si="6"/>
        <v>2014</v>
      </c>
      <c r="D33" s="68">
        <f t="shared" ref="D33:D44" si="10">+$D$7/12</f>
        <v>126359.4988548619</v>
      </c>
      <c r="E33" s="69"/>
      <c r="F33" s="68">
        <f>D32+F32</f>
        <v>575139.6885221824</v>
      </c>
      <c r="G33" s="68"/>
      <c r="H33" s="68">
        <f>H32+SUM(N30:N32)</f>
        <v>8624.3174149627448</v>
      </c>
      <c r="I33" s="68"/>
      <c r="J33" s="68">
        <f>F33+H33</f>
        <v>583764.00593714509</v>
      </c>
      <c r="K33" s="69"/>
      <c r="L33" s="70">
        <f>+'Prime Rate'!I782/12</f>
        <v>2.708333333333333E-3</v>
      </c>
      <c r="M33" s="72"/>
      <c r="N33" s="68">
        <f t="shared" ref="N33" si="11">J33*L33</f>
        <v>1581.0275160797678</v>
      </c>
      <c r="O33" s="68"/>
      <c r="P33" s="68">
        <f>SUM($D$21:D33)+SUM($N$21:N33)</f>
        <v>711704.53230808687</v>
      </c>
      <c r="R33" s="40">
        <v>1</v>
      </c>
    </row>
    <row r="34" spans="2:18" ht="15.75">
      <c r="B34" s="67">
        <f t="shared" ref="B34:B44" si="12">DATE($B$7,R34,1)</f>
        <v>41671</v>
      </c>
      <c r="C34" s="50">
        <f t="shared" si="6"/>
        <v>2014</v>
      </c>
      <c r="D34" s="68">
        <f t="shared" si="10"/>
        <v>126359.4988548619</v>
      </c>
      <c r="E34" s="69"/>
      <c r="F34" s="68">
        <f t="shared" ref="F34:F44" si="13">D33+F33</f>
        <v>701499.18737704435</v>
      </c>
      <c r="G34" s="68"/>
      <c r="H34" s="68">
        <f>H32+SUM(N30:N32)</f>
        <v>8624.3174149627448</v>
      </c>
      <c r="I34" s="68"/>
      <c r="J34" s="68">
        <f t="shared" ref="J34:J44" si="14">F34+H34</f>
        <v>710123.50479200715</v>
      </c>
      <c r="K34" s="69"/>
      <c r="L34" s="70">
        <f>+'Prime Rate'!I783/12</f>
        <v>2.708333333333333E-3</v>
      </c>
      <c r="M34" s="72"/>
      <c r="N34" s="68">
        <f>J34*L34</f>
        <v>1923.2511588116859</v>
      </c>
      <c r="O34" s="68"/>
      <c r="P34" s="68">
        <f>SUM($D$21:D34)+SUM($N$21:N34)</f>
        <v>839987.28232176055</v>
      </c>
      <c r="R34" s="40">
        <v>2</v>
      </c>
    </row>
    <row r="35" spans="2:18" ht="15.75">
      <c r="B35" s="67">
        <f t="shared" si="12"/>
        <v>41699</v>
      </c>
      <c r="C35" s="50">
        <f t="shared" si="6"/>
        <v>2014</v>
      </c>
      <c r="D35" s="68">
        <f t="shared" si="10"/>
        <v>126359.4988548619</v>
      </c>
      <c r="E35" s="69"/>
      <c r="F35" s="68">
        <f t="shared" si="13"/>
        <v>827858.68623190629</v>
      </c>
      <c r="G35" s="68"/>
      <c r="H35" s="68">
        <f>H32+SUM(N30:N32)</f>
        <v>8624.3174149627448</v>
      </c>
      <c r="I35" s="68"/>
      <c r="J35" s="68">
        <f t="shared" si="14"/>
        <v>836483.00364686898</v>
      </c>
      <c r="K35" s="69"/>
      <c r="L35" s="70">
        <f>+'Prime Rate'!I784/12</f>
        <v>2.708333333333333E-3</v>
      </c>
      <c r="M35" s="72"/>
      <c r="N35" s="68">
        <f t="shared" ref="N35:N44" si="15">J35*L35</f>
        <v>2265.474801543603</v>
      </c>
      <c r="O35" s="68"/>
      <c r="P35" s="68">
        <f>SUM($D$21:D35)+SUM($N$21:N35)</f>
        <v>968612.25597816601</v>
      </c>
      <c r="R35" s="40">
        <v>3</v>
      </c>
    </row>
    <row r="36" spans="2:18" ht="15.75">
      <c r="B36" s="67">
        <f t="shared" si="12"/>
        <v>41730</v>
      </c>
      <c r="C36" s="50">
        <f t="shared" si="6"/>
        <v>2014</v>
      </c>
      <c r="D36" s="68">
        <f t="shared" si="10"/>
        <v>126359.4988548619</v>
      </c>
      <c r="E36" s="69"/>
      <c r="F36" s="68">
        <f t="shared" si="13"/>
        <v>954218.18508676824</v>
      </c>
      <c r="G36" s="68"/>
      <c r="H36" s="68">
        <f>H35+SUM(N33:N35)</f>
        <v>14394.070891397801</v>
      </c>
      <c r="I36" s="68"/>
      <c r="J36" s="68">
        <f t="shared" si="14"/>
        <v>968612.25597816601</v>
      </c>
      <c r="K36" s="69"/>
      <c r="L36" s="70">
        <f>+'Prime Rate'!I785/12</f>
        <v>2.708333333333333E-3</v>
      </c>
      <c r="M36" s="72"/>
      <c r="N36" s="68">
        <f t="shared" si="15"/>
        <v>2623.3248599408657</v>
      </c>
      <c r="O36" s="68"/>
      <c r="P36" s="68">
        <f>SUM($D$21:D36)+SUM($N$21:N36)</f>
        <v>1097595.0796929689</v>
      </c>
      <c r="R36" s="40">
        <v>4</v>
      </c>
    </row>
    <row r="37" spans="2:18" ht="15.75">
      <c r="B37" s="67">
        <f t="shared" si="12"/>
        <v>41760</v>
      </c>
      <c r="C37" s="50">
        <f t="shared" si="6"/>
        <v>2014</v>
      </c>
      <c r="D37" s="68">
        <f t="shared" si="10"/>
        <v>126359.4988548619</v>
      </c>
      <c r="E37" s="69"/>
      <c r="F37" s="68">
        <f t="shared" si="13"/>
        <v>1080577.6839416302</v>
      </c>
      <c r="G37" s="68"/>
      <c r="H37" s="68">
        <f>H35+SUM(N33:N35)</f>
        <v>14394.070891397801</v>
      </c>
      <c r="I37" s="68"/>
      <c r="J37" s="68">
        <f t="shared" si="14"/>
        <v>1094971.754833028</v>
      </c>
      <c r="K37" s="69"/>
      <c r="L37" s="70">
        <f>+'Prime Rate'!I786/12</f>
        <v>2.708333333333333E-3</v>
      </c>
      <c r="M37" s="72"/>
      <c r="N37" s="68">
        <f t="shared" si="15"/>
        <v>2965.5485026727838</v>
      </c>
      <c r="O37" s="68"/>
      <c r="P37" s="68">
        <f>SUM($D$21:D37)+SUM($N$21:N37)</f>
        <v>1226920.1270505034</v>
      </c>
      <c r="R37" s="40">
        <v>5</v>
      </c>
    </row>
    <row r="38" spans="2:18" ht="15.75">
      <c r="B38" s="67">
        <f t="shared" si="12"/>
        <v>41791</v>
      </c>
      <c r="C38" s="50">
        <f t="shared" si="6"/>
        <v>2014</v>
      </c>
      <c r="D38" s="68">
        <f t="shared" si="10"/>
        <v>126359.4988548619</v>
      </c>
      <c r="E38" s="69"/>
      <c r="F38" s="68">
        <f t="shared" si="13"/>
        <v>1206937.182796492</v>
      </c>
      <c r="G38" s="68"/>
      <c r="H38" s="68">
        <f>H35+SUM(N33:N35)</f>
        <v>14394.070891397801</v>
      </c>
      <c r="I38" s="68"/>
      <c r="J38" s="68">
        <f t="shared" si="14"/>
        <v>1221331.2536878898</v>
      </c>
      <c r="K38" s="69"/>
      <c r="L38" s="70">
        <f>+'Prime Rate'!I787/12</f>
        <v>2.708333333333333E-3</v>
      </c>
      <c r="M38" s="72"/>
      <c r="N38" s="68">
        <f t="shared" si="15"/>
        <v>3307.772145404701</v>
      </c>
      <c r="O38" s="68"/>
      <c r="P38" s="68">
        <f>SUM($D$21:D38)+SUM($N$21:N38)</f>
        <v>1356587.3980507699</v>
      </c>
      <c r="R38" s="40">
        <v>6</v>
      </c>
    </row>
    <row r="39" spans="2:18" ht="15.75">
      <c r="B39" s="67">
        <f t="shared" si="12"/>
        <v>41821</v>
      </c>
      <c r="C39" s="50">
        <f t="shared" si="6"/>
        <v>2014</v>
      </c>
      <c r="D39" s="68">
        <f t="shared" si="10"/>
        <v>126359.4988548619</v>
      </c>
      <c r="E39" s="69"/>
      <c r="F39" s="68">
        <f t="shared" si="13"/>
        <v>1333296.6816513538</v>
      </c>
      <c r="G39" s="68"/>
      <c r="H39" s="68">
        <f>H38+SUM(N36:N38)</f>
        <v>23290.716399416153</v>
      </c>
      <c r="I39" s="68"/>
      <c r="J39" s="68">
        <f t="shared" si="14"/>
        <v>1356587.3980507699</v>
      </c>
      <c r="K39" s="69"/>
      <c r="L39" s="70">
        <f>+'Prime Rate'!I788/12</f>
        <v>2.708333333333333E-3</v>
      </c>
      <c r="M39" s="72"/>
      <c r="N39" s="68">
        <f t="shared" si="15"/>
        <v>3674.0908697208347</v>
      </c>
      <c r="O39" s="68"/>
      <c r="P39" s="68">
        <f>SUM($D$21:D39)+SUM($N$21:N39)</f>
        <v>1486620.9877753526</v>
      </c>
      <c r="R39" s="40">
        <v>7</v>
      </c>
    </row>
    <row r="40" spans="2:18" ht="15.75">
      <c r="B40" s="67">
        <f t="shared" si="12"/>
        <v>41852</v>
      </c>
      <c r="C40" s="50">
        <f t="shared" si="6"/>
        <v>2014</v>
      </c>
      <c r="D40" s="68">
        <f t="shared" si="10"/>
        <v>126359.4988548619</v>
      </c>
      <c r="E40" s="69"/>
      <c r="F40" s="68">
        <f t="shared" si="13"/>
        <v>1459656.1805062157</v>
      </c>
      <c r="G40" s="68"/>
      <c r="H40" s="68">
        <f>H38+SUM(N36:N38)</f>
        <v>23290.716399416153</v>
      </c>
      <c r="I40" s="68"/>
      <c r="J40" s="68">
        <f t="shared" si="14"/>
        <v>1482946.8969056318</v>
      </c>
      <c r="K40" s="69"/>
      <c r="L40" s="70">
        <f>+'Prime Rate'!I789/12</f>
        <v>2.708333333333333E-3</v>
      </c>
      <c r="M40" s="72"/>
      <c r="N40" s="68">
        <f t="shared" si="15"/>
        <v>4016.3145124527523</v>
      </c>
      <c r="O40" s="68"/>
      <c r="P40" s="68">
        <f>SUM($D$21:D40)+SUM($N$21:N40)</f>
        <v>1616996.8011426672</v>
      </c>
      <c r="R40" s="40">
        <v>8</v>
      </c>
    </row>
    <row r="41" spans="2:18" ht="15.75">
      <c r="B41" s="67">
        <f t="shared" si="12"/>
        <v>41883</v>
      </c>
      <c r="C41" s="50">
        <f t="shared" si="6"/>
        <v>2014</v>
      </c>
      <c r="D41" s="68">
        <f t="shared" si="10"/>
        <v>126359.4988548619</v>
      </c>
      <c r="E41" s="69"/>
      <c r="F41" s="68">
        <f t="shared" si="13"/>
        <v>1586015.6793610775</v>
      </c>
      <c r="G41" s="68"/>
      <c r="H41" s="68">
        <f>H38+SUM(N36:N38)</f>
        <v>23290.716399416153</v>
      </c>
      <c r="I41" s="68"/>
      <c r="J41" s="68">
        <f t="shared" si="14"/>
        <v>1609306.3957604936</v>
      </c>
      <c r="K41" s="69"/>
      <c r="L41" s="70">
        <f>+'Prime Rate'!I790/12</f>
        <v>2.708333333333333E-3</v>
      </c>
      <c r="M41" s="72"/>
      <c r="N41" s="68">
        <f t="shared" si="15"/>
        <v>4358.5381551846694</v>
      </c>
      <c r="O41" s="68"/>
      <c r="P41" s="68">
        <f>SUM($D$21:D41)+SUM($N$21:N41)</f>
        <v>1747714.8381527138</v>
      </c>
      <c r="R41" s="40">
        <v>9</v>
      </c>
    </row>
    <row r="42" spans="2:18" ht="15.75">
      <c r="B42" s="67">
        <f t="shared" si="12"/>
        <v>41913</v>
      </c>
      <c r="C42" s="50">
        <f t="shared" si="6"/>
        <v>2014</v>
      </c>
      <c r="D42" s="68">
        <f t="shared" si="10"/>
        <v>126359.4988548619</v>
      </c>
      <c r="E42" s="69"/>
      <c r="F42" s="68">
        <f t="shared" si="13"/>
        <v>1712375.1782159393</v>
      </c>
      <c r="G42" s="68"/>
      <c r="H42" s="68">
        <f>H41+SUM(N39:N41)</f>
        <v>35339.659936774406</v>
      </c>
      <c r="I42" s="68"/>
      <c r="J42" s="68">
        <f>F42+H42</f>
        <v>1747714.8381527136</v>
      </c>
      <c r="K42" s="69"/>
      <c r="L42" s="70">
        <f>+'Prime Rate'!I791/12</f>
        <v>2.708333333333333E-3</v>
      </c>
      <c r="M42" s="72"/>
      <c r="N42" s="68">
        <f t="shared" si="15"/>
        <v>4733.3943533302654</v>
      </c>
      <c r="O42" s="68"/>
      <c r="P42" s="68">
        <f>SUM($D$21:D42)+SUM($N$21:N42)</f>
        <v>1878807.7313609058</v>
      </c>
      <c r="R42" s="40">
        <v>10</v>
      </c>
    </row>
    <row r="43" spans="2:18" ht="15.75">
      <c r="B43" s="67">
        <f t="shared" si="12"/>
        <v>41944</v>
      </c>
      <c r="C43" s="50">
        <f t="shared" si="6"/>
        <v>2014</v>
      </c>
      <c r="D43" s="68">
        <f t="shared" si="10"/>
        <v>126359.4988548619</v>
      </c>
      <c r="E43" s="69"/>
      <c r="F43" s="68">
        <f t="shared" si="13"/>
        <v>1838734.6770708011</v>
      </c>
      <c r="G43" s="68"/>
      <c r="H43" s="68">
        <f>H41+SUM(N39:N41)</f>
        <v>35339.659936774406</v>
      </c>
      <c r="I43" s="68"/>
      <c r="J43" s="68">
        <f t="shared" si="14"/>
        <v>1874074.3370075757</v>
      </c>
      <c r="K43" s="69"/>
      <c r="L43" s="70">
        <f>+'Prime Rate'!I792/12</f>
        <v>2.708333333333333E-3</v>
      </c>
      <c r="M43" s="72"/>
      <c r="N43" s="68">
        <f t="shared" si="15"/>
        <v>5075.617996062183</v>
      </c>
      <c r="O43" s="68"/>
      <c r="P43" s="68">
        <f>SUM($D$21:D43)+SUM($N$21:N43)</f>
        <v>2010242.8482118298</v>
      </c>
      <c r="R43" s="40">
        <v>11</v>
      </c>
    </row>
    <row r="44" spans="2:18" ht="15.75">
      <c r="B44" s="67">
        <f t="shared" si="12"/>
        <v>41974</v>
      </c>
      <c r="C44" s="50">
        <f t="shared" si="6"/>
        <v>2014</v>
      </c>
      <c r="D44" s="68">
        <f t="shared" si="10"/>
        <v>126359.4988548619</v>
      </c>
      <c r="E44" s="69"/>
      <c r="F44" s="68">
        <f t="shared" si="13"/>
        <v>1965094.175925663</v>
      </c>
      <c r="G44" s="68"/>
      <c r="H44" s="68">
        <f>H41+SUM(N39:N41)</f>
        <v>35339.659936774406</v>
      </c>
      <c r="I44" s="68"/>
      <c r="J44" s="68">
        <f t="shared" si="14"/>
        <v>2000433.8358624373</v>
      </c>
      <c r="K44" s="69"/>
      <c r="L44" s="70">
        <f>+'Prime Rate'!I793/12</f>
        <v>2.708333333333333E-3</v>
      </c>
      <c r="M44" s="72"/>
      <c r="N44" s="68">
        <f t="shared" si="15"/>
        <v>5417.8416387941006</v>
      </c>
      <c r="O44" s="68"/>
      <c r="P44" s="68">
        <f>SUM($D$21:D44)+SUM($N$21:N44)</f>
        <v>2142020.1887054858</v>
      </c>
      <c r="R44" s="40">
        <v>12</v>
      </c>
    </row>
    <row r="45" spans="2:18" ht="15.75">
      <c r="B45" s="67">
        <f t="shared" ref="B45:B56" si="16">DATE($B$8,R45,1)</f>
        <v>42005</v>
      </c>
      <c r="C45" s="50">
        <f t="shared" si="6"/>
        <v>2015</v>
      </c>
      <c r="D45" s="68">
        <f t="shared" ref="D45:D56" si="17">+$D$8/12</f>
        <v>195188.18431882872</v>
      </c>
      <c r="E45" s="69"/>
      <c r="F45" s="68">
        <f t="shared" ref="F45:F47" si="18">D44+F44</f>
        <v>2091453.6747805248</v>
      </c>
      <c r="G45" s="68"/>
      <c r="H45" s="68">
        <f>H44+SUM(N42:N44)</f>
        <v>50566.513924960949</v>
      </c>
      <c r="I45" s="68"/>
      <c r="J45" s="68">
        <f>F45+H45</f>
        <v>2142020.1887054858</v>
      </c>
      <c r="K45" s="69"/>
      <c r="L45" s="70">
        <f>+'Prime Rate'!I794/12</f>
        <v>2.708333333333333E-3</v>
      </c>
      <c r="M45" s="72"/>
      <c r="N45" s="68">
        <f t="shared" ref="N45:N47" si="19">J45*L45</f>
        <v>5801.3046777440231</v>
      </c>
      <c r="O45" s="68"/>
      <c r="P45" s="68">
        <f>SUM($D$21:D45)+SUM($N$21:N45)</f>
        <v>2343009.6777020586</v>
      </c>
      <c r="R45" s="40">
        <v>1</v>
      </c>
    </row>
    <row r="46" spans="2:18" ht="15.75">
      <c r="B46" s="67">
        <f t="shared" si="16"/>
        <v>42036</v>
      </c>
      <c r="C46" s="50">
        <f t="shared" si="6"/>
        <v>2015</v>
      </c>
      <c r="D46" s="68">
        <f t="shared" si="17"/>
        <v>195188.18431882872</v>
      </c>
      <c r="E46" s="69"/>
      <c r="F46" s="68">
        <f t="shared" si="18"/>
        <v>2286641.8590993537</v>
      </c>
      <c r="G46" s="68"/>
      <c r="H46" s="68">
        <f>H44+SUM(N42:N44)</f>
        <v>50566.513924960949</v>
      </c>
      <c r="I46" s="68"/>
      <c r="J46" s="68">
        <f t="shared" ref="J46:J47" si="20">F46+H46</f>
        <v>2337208.3730243146</v>
      </c>
      <c r="K46" s="69"/>
      <c r="L46" s="70">
        <f>+'Prime Rate'!I795/12</f>
        <v>2.708333333333333E-3</v>
      </c>
      <c r="M46" s="72"/>
      <c r="N46" s="68">
        <f t="shared" si="19"/>
        <v>6329.9393436075179</v>
      </c>
      <c r="O46" s="68"/>
      <c r="P46" s="68">
        <f>SUM($D$21:D46)+SUM($N$21:N46)</f>
        <v>2544527.801364495</v>
      </c>
      <c r="R46" s="40">
        <v>2</v>
      </c>
    </row>
    <row r="47" spans="2:18" ht="15.75">
      <c r="B47" s="67">
        <f t="shared" si="16"/>
        <v>42064</v>
      </c>
      <c r="C47" s="50">
        <f t="shared" si="6"/>
        <v>2015</v>
      </c>
      <c r="D47" s="68">
        <f t="shared" si="17"/>
        <v>195188.18431882872</v>
      </c>
      <c r="E47" s="69"/>
      <c r="F47" s="68">
        <f t="shared" si="18"/>
        <v>2481830.0434181825</v>
      </c>
      <c r="G47" s="68"/>
      <c r="H47" s="68">
        <f>H44+SUM(N42:N44)</f>
        <v>50566.513924960949</v>
      </c>
      <c r="I47" s="68"/>
      <c r="J47" s="68">
        <f t="shared" si="20"/>
        <v>2532396.5573431435</v>
      </c>
      <c r="K47" s="69"/>
      <c r="L47" s="70">
        <f>+'Prime Rate'!I796/12</f>
        <v>2.708333333333333E-3</v>
      </c>
      <c r="M47" s="72"/>
      <c r="N47" s="68">
        <f t="shared" si="19"/>
        <v>6858.5740094710127</v>
      </c>
      <c r="O47" s="68"/>
      <c r="P47" s="68">
        <f>SUM($D$21:D47)+SUM($N$21:N47)</f>
        <v>2746574.5596927949</v>
      </c>
      <c r="R47" s="40">
        <v>3</v>
      </c>
    </row>
    <row r="48" spans="2:18" ht="15.75">
      <c r="B48" s="67">
        <f t="shared" si="16"/>
        <v>42095</v>
      </c>
      <c r="C48" s="50">
        <f t="shared" si="6"/>
        <v>2015</v>
      </c>
      <c r="D48" s="68">
        <f t="shared" si="17"/>
        <v>195188.18431882872</v>
      </c>
      <c r="E48" s="69"/>
      <c r="F48" s="68">
        <f t="shared" ref="F48:F59" si="21">D47+F47</f>
        <v>2677018.2277370114</v>
      </c>
      <c r="G48" s="68"/>
      <c r="H48" s="68">
        <f>H47+SUM(N45:N47)</f>
        <v>69556.331955783506</v>
      </c>
      <c r="I48" s="68"/>
      <c r="J48" s="68">
        <f>F48+H48</f>
        <v>2746574.5596927949</v>
      </c>
      <c r="K48" s="69"/>
      <c r="L48" s="70">
        <f>+'Prime Rate'!I797/12</f>
        <v>2.708333333333333E-3</v>
      </c>
      <c r="M48" s="72"/>
      <c r="N48" s="68">
        <f t="shared" ref="N48:N59" si="22">J48*L48</f>
        <v>7438.6394325013189</v>
      </c>
      <c r="O48" s="68"/>
      <c r="P48" s="68">
        <f>SUM($D$21:D48)+SUM($N$21:N48)</f>
        <v>2949201.3834441253</v>
      </c>
      <c r="R48" s="40">
        <v>4</v>
      </c>
    </row>
    <row r="49" spans="2:18" ht="15.75">
      <c r="B49" s="67">
        <f t="shared" si="16"/>
        <v>42125</v>
      </c>
      <c r="C49" s="50">
        <f t="shared" si="6"/>
        <v>2015</v>
      </c>
      <c r="D49" s="68">
        <f t="shared" si="17"/>
        <v>195188.18431882872</v>
      </c>
      <c r="E49" s="69"/>
      <c r="F49" s="68">
        <f t="shared" si="21"/>
        <v>2872206.4120558403</v>
      </c>
      <c r="G49" s="68"/>
      <c r="H49" s="68">
        <f>H47+SUM(N45:N47)</f>
        <v>69556.331955783506</v>
      </c>
      <c r="I49" s="68"/>
      <c r="J49" s="68">
        <f t="shared" ref="J49:J50" si="23">F49+H49</f>
        <v>2941762.7440116238</v>
      </c>
      <c r="K49" s="69"/>
      <c r="L49" s="70">
        <f>+'Prime Rate'!I798/12</f>
        <v>2.708333333333333E-3</v>
      </c>
      <c r="M49" s="72"/>
      <c r="N49" s="68">
        <f t="shared" si="22"/>
        <v>7967.2740983648137</v>
      </c>
      <c r="O49" s="68"/>
      <c r="P49" s="68">
        <f>SUM($D$21:D49)+SUM($N$21:N49)</f>
        <v>3152356.8418613188</v>
      </c>
      <c r="R49" s="40">
        <v>5</v>
      </c>
    </row>
    <row r="50" spans="2:18" ht="15.75">
      <c r="B50" s="67">
        <f t="shared" si="16"/>
        <v>42156</v>
      </c>
      <c r="C50" s="50">
        <f t="shared" si="6"/>
        <v>2015</v>
      </c>
      <c r="D50" s="68">
        <f t="shared" si="17"/>
        <v>195188.18431882872</v>
      </c>
      <c r="E50" s="69"/>
      <c r="F50" s="68">
        <f t="shared" si="21"/>
        <v>3067394.5963746691</v>
      </c>
      <c r="G50" s="68"/>
      <c r="H50" s="68">
        <f>H47+SUM(N45:N47)</f>
        <v>69556.331955783506</v>
      </c>
      <c r="I50" s="68"/>
      <c r="J50" s="68">
        <f t="shared" si="23"/>
        <v>3136950.9283304526</v>
      </c>
      <c r="K50" s="69"/>
      <c r="L50" s="70">
        <f>+'Prime Rate'!I799/12</f>
        <v>2.708333333333333E-3</v>
      </c>
      <c r="M50" s="72"/>
      <c r="N50" s="68">
        <f t="shared" si="22"/>
        <v>8495.9087642283084</v>
      </c>
      <c r="O50" s="68"/>
      <c r="P50" s="68">
        <f>SUM($D$21:D50)+SUM($N$21:N50)</f>
        <v>3356040.9349443759</v>
      </c>
      <c r="R50" s="40">
        <v>6</v>
      </c>
    </row>
    <row r="51" spans="2:18" ht="15.75">
      <c r="B51" s="67">
        <f t="shared" si="16"/>
        <v>42186</v>
      </c>
      <c r="C51" s="50">
        <f t="shared" si="6"/>
        <v>2015</v>
      </c>
      <c r="D51" s="68">
        <f t="shared" si="17"/>
        <v>195188.18431882872</v>
      </c>
      <c r="E51" s="69"/>
      <c r="F51" s="68">
        <f t="shared" si="21"/>
        <v>3262582.780693498</v>
      </c>
      <c r="G51" s="68"/>
      <c r="H51" s="68">
        <f>H50+SUM(N48:N50)</f>
        <v>93458.154250877938</v>
      </c>
      <c r="I51" s="68"/>
      <c r="J51" s="68">
        <f>F51+H51</f>
        <v>3356040.9349443759</v>
      </c>
      <c r="K51" s="69"/>
      <c r="L51" s="70">
        <f>+'Prime Rate'!I800/12</f>
        <v>2.708333333333333E-3</v>
      </c>
      <c r="M51" s="72"/>
      <c r="N51" s="68">
        <f t="shared" si="22"/>
        <v>9089.2775321410172</v>
      </c>
      <c r="O51" s="68"/>
      <c r="P51" s="68">
        <f>SUM($D$21:D51)+SUM($N$21:N51)</f>
        <v>3560318.3967953459</v>
      </c>
      <c r="R51" s="40">
        <v>7</v>
      </c>
    </row>
    <row r="52" spans="2:18" ht="15.75">
      <c r="B52" s="67">
        <f t="shared" si="16"/>
        <v>42217</v>
      </c>
      <c r="C52" s="50">
        <f t="shared" si="6"/>
        <v>2015</v>
      </c>
      <c r="D52" s="68">
        <f t="shared" si="17"/>
        <v>195188.18431882872</v>
      </c>
      <c r="E52" s="69"/>
      <c r="F52" s="68">
        <f t="shared" si="21"/>
        <v>3457770.9650123268</v>
      </c>
      <c r="G52" s="68"/>
      <c r="H52" s="68">
        <f>H50+SUM(N48:N50)</f>
        <v>93458.154250877938</v>
      </c>
      <c r="I52" s="68"/>
      <c r="J52" s="68">
        <f t="shared" ref="J52:J53" si="24">F52+H52</f>
        <v>3551229.1192632047</v>
      </c>
      <c r="K52" s="69"/>
      <c r="L52" s="70">
        <f>+'Prime Rate'!I801/12</f>
        <v>2.708333333333333E-3</v>
      </c>
      <c r="M52" s="72"/>
      <c r="N52" s="68">
        <f t="shared" si="22"/>
        <v>9617.9121980045111</v>
      </c>
      <c r="O52" s="68"/>
      <c r="P52" s="68">
        <f>SUM($D$21:D52)+SUM($N$21:N52)</f>
        <v>3765124.4933121791</v>
      </c>
      <c r="R52" s="40">
        <v>8</v>
      </c>
    </row>
    <row r="53" spans="2:18" ht="15.75">
      <c r="B53" s="67">
        <f t="shared" si="16"/>
        <v>42248</v>
      </c>
      <c r="C53" s="50">
        <f t="shared" si="6"/>
        <v>2015</v>
      </c>
      <c r="D53" s="68">
        <f t="shared" si="17"/>
        <v>195188.18431882872</v>
      </c>
      <c r="E53" s="69"/>
      <c r="F53" s="68">
        <f t="shared" si="21"/>
        <v>3652959.1493311557</v>
      </c>
      <c r="G53" s="68"/>
      <c r="H53" s="68">
        <f>H50+SUM(N48:N50)</f>
        <v>93458.154250877938</v>
      </c>
      <c r="I53" s="68"/>
      <c r="J53" s="68">
        <f t="shared" si="24"/>
        <v>3746417.3035820336</v>
      </c>
      <c r="K53" s="69"/>
      <c r="L53" s="70">
        <f>+'Prime Rate'!I802/12</f>
        <v>2.708333333333333E-3</v>
      </c>
      <c r="M53" s="72"/>
      <c r="N53" s="68">
        <f t="shared" si="22"/>
        <v>10146.546863868007</v>
      </c>
      <c r="O53" s="68"/>
      <c r="P53" s="68">
        <f>SUM($D$21:D53)+SUM($N$21:N53)</f>
        <v>3970459.2244948759</v>
      </c>
      <c r="R53" s="40">
        <v>9</v>
      </c>
    </row>
    <row r="54" spans="2:18" ht="15.75">
      <c r="B54" s="67">
        <f t="shared" si="16"/>
        <v>42278</v>
      </c>
      <c r="C54" s="50">
        <f t="shared" si="6"/>
        <v>2015</v>
      </c>
      <c r="D54" s="68">
        <f t="shared" si="17"/>
        <v>195188.18431882872</v>
      </c>
      <c r="E54" s="69"/>
      <c r="F54" s="68">
        <f t="shared" si="21"/>
        <v>3848147.3336499846</v>
      </c>
      <c r="G54" s="68"/>
      <c r="H54" s="68">
        <f>H53+SUM(N51:N53)</f>
        <v>122311.89084489147</v>
      </c>
      <c r="I54" s="68"/>
      <c r="J54" s="68">
        <f>F54+H54</f>
        <v>3970459.2244948759</v>
      </c>
      <c r="K54" s="69"/>
      <c r="L54" s="70">
        <f>+'Prime Rate'!I803/12</f>
        <v>2.708333333333333E-3</v>
      </c>
      <c r="M54" s="72"/>
      <c r="N54" s="68">
        <f t="shared" si="22"/>
        <v>10753.327066340287</v>
      </c>
      <c r="O54" s="68"/>
      <c r="P54" s="68">
        <f>SUM($D$21:D54)+SUM($N$21:N54)</f>
        <v>4176400.7358800452</v>
      </c>
      <c r="R54" s="40">
        <v>10</v>
      </c>
    </row>
    <row r="55" spans="2:18" ht="15.75">
      <c r="B55" s="67">
        <f t="shared" si="16"/>
        <v>42309</v>
      </c>
      <c r="C55" s="50">
        <f t="shared" si="6"/>
        <v>2015</v>
      </c>
      <c r="D55" s="68">
        <f t="shared" si="17"/>
        <v>195188.18431882872</v>
      </c>
      <c r="E55" s="69"/>
      <c r="F55" s="68">
        <f t="shared" si="21"/>
        <v>4043335.5179688134</v>
      </c>
      <c r="G55" s="68"/>
      <c r="H55" s="68">
        <f>H53+SUM(N51:N53)</f>
        <v>122311.89084489147</v>
      </c>
      <c r="I55" s="68"/>
      <c r="J55" s="68">
        <f t="shared" ref="J55:J56" si="25">F55+H55</f>
        <v>4165647.4088137047</v>
      </c>
      <c r="K55" s="69"/>
      <c r="L55" s="70">
        <f>+'Prime Rate'!I804/12</f>
        <v>2.708333333333333E-3</v>
      </c>
      <c r="M55" s="72"/>
      <c r="N55" s="68">
        <f t="shared" si="22"/>
        <v>11281.961732203783</v>
      </c>
      <c r="O55" s="68"/>
      <c r="P55" s="68">
        <f>SUM($D$21:D55)+SUM($N$21:N55)</f>
        <v>4382870.8819310777</v>
      </c>
      <c r="R55" s="40">
        <v>11</v>
      </c>
    </row>
    <row r="56" spans="2:18" ht="15.75">
      <c r="B56" s="67">
        <f t="shared" si="16"/>
        <v>42339</v>
      </c>
      <c r="C56" s="50">
        <f t="shared" si="6"/>
        <v>2015</v>
      </c>
      <c r="D56" s="68">
        <f t="shared" si="17"/>
        <v>195188.18431882872</v>
      </c>
      <c r="E56" s="69"/>
      <c r="F56" s="68">
        <f t="shared" si="21"/>
        <v>4238523.7022876423</v>
      </c>
      <c r="G56" s="68"/>
      <c r="H56" s="68">
        <f>H53+SUM(N51:N53)</f>
        <v>122311.89084489147</v>
      </c>
      <c r="I56" s="68"/>
      <c r="J56" s="68">
        <f t="shared" si="25"/>
        <v>4360835.5931325341</v>
      </c>
      <c r="K56" s="69"/>
      <c r="L56" s="70">
        <f>+'Prime Rate'!I805/12</f>
        <v>2.708333333333333E-3</v>
      </c>
      <c r="M56" s="72"/>
      <c r="N56" s="68">
        <f t="shared" si="22"/>
        <v>11810.596398067279</v>
      </c>
      <c r="O56" s="68"/>
      <c r="P56" s="68">
        <f>SUM($D$21:D56)+SUM($N$21:N56)</f>
        <v>4589869.6626479737</v>
      </c>
      <c r="R56" s="40">
        <v>12</v>
      </c>
    </row>
    <row r="57" spans="2:18" ht="15.75">
      <c r="B57" s="67">
        <f t="shared" ref="B57:B68" si="26">DATE($B$9,R57,1)</f>
        <v>42370</v>
      </c>
      <c r="C57" s="50">
        <f t="shared" si="6"/>
        <v>2016</v>
      </c>
      <c r="D57" s="68">
        <f t="shared" ref="D57:D68" si="27">+$D$9/12</f>
        <v>325672.96537909843</v>
      </c>
      <c r="E57" s="69"/>
      <c r="F57" s="68">
        <f t="shared" si="21"/>
        <v>4433711.8866064707</v>
      </c>
      <c r="G57" s="68"/>
      <c r="H57" s="68">
        <f>H56+SUM(N54:N56)</f>
        <v>156157.77604150283</v>
      </c>
      <c r="I57" s="68"/>
      <c r="J57" s="68">
        <f>F57+H57</f>
        <v>4589869.6626479737</v>
      </c>
      <c r="K57" s="69"/>
      <c r="L57" s="70">
        <f>+'Prime Rate'!I806/12</f>
        <v>2.708333333333333E-3</v>
      </c>
      <c r="M57" s="72"/>
      <c r="N57" s="68">
        <f t="shared" si="22"/>
        <v>12430.897003004928</v>
      </c>
      <c r="O57" s="68"/>
      <c r="P57" s="68">
        <f>SUM($D$21:D57)+SUM($N$21:N57)</f>
        <v>4927973.5250300765</v>
      </c>
      <c r="R57" s="40">
        <v>1</v>
      </c>
    </row>
    <row r="58" spans="2:18" ht="15.75">
      <c r="B58" s="67">
        <f t="shared" si="26"/>
        <v>42401</v>
      </c>
      <c r="C58" s="50">
        <f t="shared" si="6"/>
        <v>2016</v>
      </c>
      <c r="D58" s="68">
        <f t="shared" si="27"/>
        <v>325672.96537909843</v>
      </c>
      <c r="E58" s="69"/>
      <c r="F58" s="68">
        <f t="shared" si="21"/>
        <v>4759384.8519855691</v>
      </c>
      <c r="G58" s="68"/>
      <c r="H58" s="68">
        <f>H56+SUM(N54:N56)</f>
        <v>156157.77604150283</v>
      </c>
      <c r="I58" s="68"/>
      <c r="J58" s="68">
        <f t="shared" ref="J58:J59" si="28">F58+H58</f>
        <v>4915542.6280270722</v>
      </c>
      <c r="K58" s="69"/>
      <c r="L58" s="70">
        <f>+'Prime Rate'!I807/12</f>
        <v>2.708333333333333E-3</v>
      </c>
      <c r="M58" s="72"/>
      <c r="N58" s="68">
        <f t="shared" si="22"/>
        <v>13312.927950906653</v>
      </c>
      <c r="O58" s="68"/>
      <c r="P58" s="68">
        <f>SUM($D$21:D58)+SUM($N$21:N58)</f>
        <v>5266959.4183600824</v>
      </c>
      <c r="R58" s="40">
        <v>2</v>
      </c>
    </row>
    <row r="59" spans="2:18" ht="15.75">
      <c r="B59" s="67">
        <f t="shared" si="26"/>
        <v>42430</v>
      </c>
      <c r="C59" s="50">
        <f t="shared" si="6"/>
        <v>2016</v>
      </c>
      <c r="D59" s="68">
        <f t="shared" si="27"/>
        <v>325672.96537909843</v>
      </c>
      <c r="E59" s="69"/>
      <c r="F59" s="68">
        <f t="shared" si="21"/>
        <v>5085057.8173646675</v>
      </c>
      <c r="G59" s="68"/>
      <c r="H59" s="68">
        <f>H56+SUM(N54:N56)</f>
        <v>156157.77604150283</v>
      </c>
      <c r="I59" s="68"/>
      <c r="J59" s="68">
        <f t="shared" si="28"/>
        <v>5241215.5934061706</v>
      </c>
      <c r="K59" s="69"/>
      <c r="L59" s="70">
        <f>+'Prime Rate'!I808/12</f>
        <v>2.708333333333333E-3</v>
      </c>
      <c r="M59" s="72"/>
      <c r="N59" s="68">
        <f t="shared" si="22"/>
        <v>14194.958898808376</v>
      </c>
      <c r="O59" s="68"/>
      <c r="P59" s="68">
        <f>SUM($D$21:D59)+SUM($N$21:N59)</f>
        <v>5606827.3426379887</v>
      </c>
      <c r="R59" s="40">
        <v>3</v>
      </c>
    </row>
    <row r="60" spans="2:18" ht="15.75">
      <c r="B60" s="67">
        <f t="shared" si="26"/>
        <v>42461</v>
      </c>
      <c r="C60" s="50">
        <f t="shared" si="6"/>
        <v>2016</v>
      </c>
      <c r="D60" s="68">
        <f t="shared" si="27"/>
        <v>325672.96537909843</v>
      </c>
      <c r="E60" s="69"/>
      <c r="F60" s="68">
        <f t="shared" ref="F60:F68" si="29">D59+F59</f>
        <v>5410730.782743766</v>
      </c>
      <c r="G60" s="68"/>
      <c r="H60" s="68">
        <f>H59+SUM(N57:N59)</f>
        <v>196096.5598942228</v>
      </c>
      <c r="I60" s="68"/>
      <c r="J60" s="68">
        <f>F60+H60</f>
        <v>5606827.3426379887</v>
      </c>
      <c r="K60" s="69"/>
      <c r="L60" s="70">
        <f>+'Prime Rate'!I809/12</f>
        <v>2.708333333333333E-3</v>
      </c>
      <c r="M60" s="72"/>
      <c r="N60" s="68">
        <f t="shared" ref="N60:N68" si="30">J60*L60</f>
        <v>15185.157386311217</v>
      </c>
      <c r="O60" s="68"/>
      <c r="P60" s="68">
        <f>SUM($D$21:D60)+SUM($N$21:N60)</f>
        <v>5947685.4654033985</v>
      </c>
      <c r="R60" s="40">
        <v>4</v>
      </c>
    </row>
    <row r="61" spans="2:18" ht="15.75">
      <c r="B61" s="67">
        <f t="shared" si="26"/>
        <v>42491</v>
      </c>
      <c r="C61" s="50">
        <f t="shared" si="6"/>
        <v>2016</v>
      </c>
      <c r="D61" s="68">
        <f t="shared" si="27"/>
        <v>325672.96537909843</v>
      </c>
      <c r="E61" s="69"/>
      <c r="F61" s="68">
        <f t="shared" si="29"/>
        <v>5736403.7481228644</v>
      </c>
      <c r="G61" s="68"/>
      <c r="H61" s="68">
        <f>H59+SUM(N57:N59)</f>
        <v>196096.5598942228</v>
      </c>
      <c r="I61" s="68"/>
      <c r="J61" s="68">
        <f t="shared" ref="J61:J62" si="31">F61+H61</f>
        <v>5932500.3080170872</v>
      </c>
      <c r="K61" s="69"/>
      <c r="L61" s="70">
        <f>+'Prime Rate'!I810/12</f>
        <v>2.7229166666666665E-3</v>
      </c>
      <c r="M61" s="72"/>
      <c r="N61" s="68">
        <f t="shared" si="30"/>
        <v>16153.703963704858</v>
      </c>
      <c r="O61" s="68"/>
      <c r="P61" s="68">
        <f>SUM($D$21:D61)+SUM($N$21:N61)</f>
        <v>6289512.1347462013</v>
      </c>
      <c r="R61" s="40">
        <v>5</v>
      </c>
    </row>
    <row r="62" spans="2:18" ht="15.75">
      <c r="B62" s="67">
        <f t="shared" si="26"/>
        <v>42522</v>
      </c>
      <c r="C62" s="50">
        <f t="shared" si="6"/>
        <v>2016</v>
      </c>
      <c r="D62" s="68">
        <f t="shared" si="27"/>
        <v>325672.96537909843</v>
      </c>
      <c r="E62" s="69"/>
      <c r="F62" s="68">
        <f t="shared" si="29"/>
        <v>6062076.7135019628</v>
      </c>
      <c r="G62" s="68"/>
      <c r="H62" s="68">
        <f>H59+SUM(N57:N59)</f>
        <v>196096.5598942228</v>
      </c>
      <c r="I62" s="68"/>
      <c r="J62" s="68">
        <f t="shared" si="31"/>
        <v>6258173.2733961856</v>
      </c>
      <c r="K62" s="69"/>
      <c r="L62" s="70">
        <f>+'Prime Rate'!I811/12</f>
        <v>2.7374999999999999E-3</v>
      </c>
      <c r="M62" s="72"/>
      <c r="N62" s="68">
        <f t="shared" si="30"/>
        <v>17131.749335922057</v>
      </c>
      <c r="O62" s="68"/>
      <c r="P62" s="68">
        <f>SUM($D$21:D62)+SUM($N$21:N62)</f>
        <v>6632316.8494612221</v>
      </c>
      <c r="R62" s="40">
        <v>6</v>
      </c>
    </row>
    <row r="63" spans="2:18" ht="15.75">
      <c r="B63" s="67">
        <f t="shared" si="26"/>
        <v>42552</v>
      </c>
      <c r="C63" s="50">
        <f t="shared" si="6"/>
        <v>2016</v>
      </c>
      <c r="D63" s="68">
        <f t="shared" si="27"/>
        <v>325672.96537909843</v>
      </c>
      <c r="E63" s="69"/>
      <c r="F63" s="68">
        <f t="shared" si="29"/>
        <v>6387749.6788810613</v>
      </c>
      <c r="G63" s="68"/>
      <c r="H63" s="68">
        <f>H62+SUM(N60:N62)</f>
        <v>244567.17058016092</v>
      </c>
      <c r="I63" s="68"/>
      <c r="J63" s="68">
        <f>F63+H63</f>
        <v>6632316.8494612221</v>
      </c>
      <c r="K63" s="69"/>
      <c r="L63" s="70">
        <f>+'Prime Rate'!I812/12</f>
        <v>2.7520833333333338E-3</v>
      </c>
      <c r="M63" s="72"/>
      <c r="N63" s="68">
        <f t="shared" si="30"/>
        <v>18252.688662788074</v>
      </c>
      <c r="O63" s="68"/>
      <c r="P63" s="68">
        <f>SUM($D$21:D63)+SUM($N$21:N63)</f>
        <v>6976242.5035031084</v>
      </c>
      <c r="R63" s="40">
        <v>7</v>
      </c>
    </row>
    <row r="64" spans="2:18" ht="15.75">
      <c r="B64" s="67">
        <f t="shared" si="26"/>
        <v>42583</v>
      </c>
      <c r="C64" s="50">
        <f t="shared" si="6"/>
        <v>2016</v>
      </c>
      <c r="D64" s="68">
        <f t="shared" si="27"/>
        <v>325672.96537909843</v>
      </c>
      <c r="E64" s="69"/>
      <c r="F64" s="68">
        <f t="shared" si="29"/>
        <v>6713422.6442601597</v>
      </c>
      <c r="G64" s="68"/>
      <c r="H64" s="68">
        <f>H62+SUM(N60:N62)</f>
        <v>244567.17058016092</v>
      </c>
      <c r="I64" s="68"/>
      <c r="J64" s="68">
        <f t="shared" ref="J64:J65" si="32">F64+H64</f>
        <v>6957989.8148403205</v>
      </c>
      <c r="K64" s="69"/>
      <c r="L64" s="70">
        <f>+'Prime Rate'!I813/12</f>
        <v>2.7694444444444446E-3</v>
      </c>
      <c r="M64" s="72"/>
      <c r="N64" s="68">
        <f t="shared" si="30"/>
        <v>19269.766237210555</v>
      </c>
      <c r="O64" s="68"/>
      <c r="P64" s="68">
        <f>SUM($D$21:D64)+SUM($N$21:N64)</f>
        <v>7321185.2351194173</v>
      </c>
      <c r="R64" s="40">
        <v>8</v>
      </c>
    </row>
    <row r="65" spans="2:18" ht="15.75">
      <c r="B65" s="67">
        <f t="shared" si="26"/>
        <v>42614</v>
      </c>
      <c r="C65" s="50">
        <f t="shared" si="6"/>
        <v>2016</v>
      </c>
      <c r="D65" s="68">
        <f t="shared" si="27"/>
        <v>325672.96537909843</v>
      </c>
      <c r="E65" s="69"/>
      <c r="F65" s="68">
        <f t="shared" si="29"/>
        <v>7039095.6096392581</v>
      </c>
      <c r="G65" s="68"/>
      <c r="H65" s="68">
        <f>H62+SUM(N60:N62)</f>
        <v>244567.17058016092</v>
      </c>
      <c r="I65" s="68"/>
      <c r="J65" s="68">
        <f t="shared" si="32"/>
        <v>7283662.7802194189</v>
      </c>
      <c r="K65" s="69"/>
      <c r="L65" s="70">
        <f>+'Prime Rate'!I814/12</f>
        <v>2.7868055555555563E-3</v>
      </c>
      <c r="M65" s="72"/>
      <c r="N65" s="68">
        <f t="shared" si="30"/>
        <v>20298.151900708704</v>
      </c>
      <c r="O65" s="68"/>
      <c r="P65" s="68">
        <f>SUM($D$21:D65)+SUM($N$21:N65)</f>
        <v>7667156.3523992244</v>
      </c>
      <c r="R65" s="40">
        <v>9</v>
      </c>
    </row>
    <row r="66" spans="2:18" ht="15.75">
      <c r="B66" s="67">
        <f t="shared" si="26"/>
        <v>42644</v>
      </c>
      <c r="C66" s="50">
        <f t="shared" si="6"/>
        <v>2016</v>
      </c>
      <c r="D66" s="68">
        <f t="shared" si="27"/>
        <v>325672.96537909843</v>
      </c>
      <c r="E66" s="69"/>
      <c r="F66" s="68">
        <f t="shared" si="29"/>
        <v>7364768.5750183566</v>
      </c>
      <c r="G66" s="68"/>
      <c r="H66" s="68">
        <f>H65+SUM(N63:N65)</f>
        <v>302387.77738086827</v>
      </c>
      <c r="I66" s="68"/>
      <c r="J66" s="68">
        <f>F66+H66</f>
        <v>7667156.3523992244</v>
      </c>
      <c r="K66" s="69"/>
      <c r="L66" s="70">
        <f>+'Prime Rate'!I815/12</f>
        <v>2.804166666666667E-3</v>
      </c>
      <c r="M66" s="72"/>
      <c r="N66" s="68">
        <f t="shared" si="30"/>
        <v>21499.984271519494</v>
      </c>
      <c r="O66" s="68"/>
      <c r="P66" s="68">
        <f>SUM($D$21:D66)+SUM($N$21:N66)</f>
        <v>8014329.3020498427</v>
      </c>
      <c r="R66" s="40">
        <v>10</v>
      </c>
    </row>
    <row r="67" spans="2:18" ht="15.75">
      <c r="B67" s="67">
        <f t="shared" si="26"/>
        <v>42675</v>
      </c>
      <c r="C67" s="50">
        <f t="shared" si="6"/>
        <v>2016</v>
      </c>
      <c r="D67" s="68">
        <f t="shared" si="27"/>
        <v>325672.96537909843</v>
      </c>
      <c r="E67" s="69"/>
      <c r="F67" s="68">
        <f t="shared" si="29"/>
        <v>7690441.540397455</v>
      </c>
      <c r="G67" s="68"/>
      <c r="H67" s="68">
        <f>H65+SUM(N63:N65)</f>
        <v>302387.77738086827</v>
      </c>
      <c r="I67" s="68"/>
      <c r="J67" s="68">
        <f t="shared" ref="J67:J68" si="33">F67+H67</f>
        <v>7992829.3177783228</v>
      </c>
      <c r="K67" s="69"/>
      <c r="L67" s="70">
        <f>+'Prime Rate'!I816/12</f>
        <v>2.8215277777777787E-3</v>
      </c>
      <c r="M67" s="72"/>
      <c r="N67" s="68">
        <f t="shared" si="30"/>
        <v>22551.98994314815</v>
      </c>
      <c r="O67" s="68"/>
      <c r="P67" s="68">
        <f>SUM($D$21:D67)+SUM($N$21:N67)</f>
        <v>8362554.2573720897</v>
      </c>
      <c r="R67" s="40">
        <v>11</v>
      </c>
    </row>
    <row r="68" spans="2:18" ht="15.75">
      <c r="B68" s="67">
        <f t="shared" si="26"/>
        <v>42705</v>
      </c>
      <c r="C68" s="50">
        <f t="shared" si="6"/>
        <v>2016</v>
      </c>
      <c r="D68" s="68">
        <f t="shared" si="27"/>
        <v>325672.96537909843</v>
      </c>
      <c r="E68" s="69"/>
      <c r="F68" s="68">
        <f t="shared" si="29"/>
        <v>8016114.5057765534</v>
      </c>
      <c r="G68" s="68"/>
      <c r="H68" s="68">
        <f>H65+SUM(N63:N65)</f>
        <v>302387.77738086827</v>
      </c>
      <c r="I68" s="68"/>
      <c r="J68" s="68">
        <f t="shared" si="33"/>
        <v>8318502.2831574213</v>
      </c>
      <c r="K68" s="69"/>
      <c r="L68" s="70">
        <f>+'Prime Rate'!I817/12</f>
        <v>2.8388888888888891E-3</v>
      </c>
      <c r="M68" s="72"/>
      <c r="N68" s="68">
        <f t="shared" si="30"/>
        <v>23615.30370385246</v>
      </c>
      <c r="O68" s="68"/>
      <c r="P68" s="68">
        <f>SUM($D$21:D68)+SUM($N$21:N68)</f>
        <v>8711842.526455041</v>
      </c>
      <c r="R68" s="40">
        <v>12</v>
      </c>
    </row>
    <row r="69" spans="2:18" ht="15.75">
      <c r="B69" s="67">
        <f t="shared" ref="B69:B80" si="34">DATE($B$10,R69,1)</f>
        <v>42736</v>
      </c>
      <c r="C69" s="50">
        <f t="shared" si="6"/>
        <v>2017</v>
      </c>
      <c r="D69" s="68">
        <f t="shared" ref="D69:D80" si="35">+$D$10/12</f>
        <v>449950.40031437483</v>
      </c>
      <c r="E69" s="69"/>
      <c r="F69" s="68">
        <f t="shared" ref="F69:F71" si="36">D68+F68</f>
        <v>8341787.4711556518</v>
      </c>
      <c r="G69" s="68"/>
      <c r="H69" s="68">
        <f>H68+SUM(N66:N68)</f>
        <v>370055.05529938836</v>
      </c>
      <c r="I69" s="68"/>
      <c r="J69" s="68">
        <f>F69+H69</f>
        <v>8711842.526455041</v>
      </c>
      <c r="K69" s="69"/>
      <c r="L69" s="70">
        <f>+'Prime Rate'!I818/12</f>
        <v>2.8562500000000007E-3</v>
      </c>
      <c r="M69" s="72"/>
      <c r="N69" s="68">
        <f t="shared" ref="N69:N71" si="37">J69*L69</f>
        <v>24883.200216187219</v>
      </c>
      <c r="O69" s="68"/>
      <c r="P69" s="68">
        <f>SUM($D$21:D69)+SUM($N$21:N69)</f>
        <v>9186676.1269856021</v>
      </c>
      <c r="R69" s="40">
        <v>1</v>
      </c>
    </row>
    <row r="70" spans="2:18" ht="15.75">
      <c r="B70" s="67">
        <f t="shared" si="34"/>
        <v>42767</v>
      </c>
      <c r="C70" s="50">
        <f t="shared" si="6"/>
        <v>2017</v>
      </c>
      <c r="D70" s="68">
        <f t="shared" si="35"/>
        <v>449950.40031437483</v>
      </c>
      <c r="E70" s="69"/>
      <c r="F70" s="68">
        <f t="shared" si="36"/>
        <v>8791737.8714700267</v>
      </c>
      <c r="G70" s="68"/>
      <c r="H70" s="68">
        <f>H68+SUM(N66:N68)</f>
        <v>370055.05529938836</v>
      </c>
      <c r="I70" s="68"/>
      <c r="J70" s="68">
        <f t="shared" ref="J70:J71" si="38">F70+H70</f>
        <v>9161792.9267694149</v>
      </c>
      <c r="K70" s="69"/>
      <c r="L70" s="70">
        <f>+'Prime Rate'!I819/12</f>
        <v>2.8736111111111115E-3</v>
      </c>
      <c r="M70" s="72"/>
      <c r="N70" s="68">
        <f t="shared" si="37"/>
        <v>26327.42995206378</v>
      </c>
      <c r="O70" s="68"/>
      <c r="P70" s="68">
        <f>SUM($D$21:D70)+SUM($N$21:N70)</f>
        <v>9662953.9572520424</v>
      </c>
      <c r="R70" s="40">
        <v>2</v>
      </c>
    </row>
    <row r="71" spans="2:18" ht="15.75" customHeight="1">
      <c r="B71" s="67">
        <f t="shared" si="34"/>
        <v>42795</v>
      </c>
      <c r="C71" s="50">
        <f t="shared" si="6"/>
        <v>2017</v>
      </c>
      <c r="D71" s="68">
        <f t="shared" si="35"/>
        <v>449950.40031437483</v>
      </c>
      <c r="E71" s="69"/>
      <c r="F71" s="68">
        <f t="shared" si="36"/>
        <v>9241688.2717844024</v>
      </c>
      <c r="G71" s="68"/>
      <c r="H71" s="68">
        <f>H68+SUM(N66:N68)</f>
        <v>370055.05529938836</v>
      </c>
      <c r="I71" s="68"/>
      <c r="J71" s="68">
        <f t="shared" si="38"/>
        <v>9611743.3270837907</v>
      </c>
      <c r="K71" s="69"/>
      <c r="L71" s="70">
        <f>+'Prime Rate'!I820/12</f>
        <v>2.8909722222222232E-3</v>
      </c>
      <c r="M71" s="72"/>
      <c r="N71" s="68">
        <f t="shared" si="37"/>
        <v>27787.282965729049</v>
      </c>
      <c r="O71" s="68"/>
      <c r="P71" s="68">
        <f>SUM($D$21:D71)+SUM($N$21:N71)</f>
        <v>10140691.640532147</v>
      </c>
      <c r="R71" s="40">
        <v>3</v>
      </c>
    </row>
    <row r="72" spans="2:18" ht="12.75" customHeight="1">
      <c r="B72" s="67">
        <f t="shared" si="34"/>
        <v>42826</v>
      </c>
      <c r="C72" s="50">
        <f t="shared" si="6"/>
        <v>2017</v>
      </c>
      <c r="D72" s="68">
        <f t="shared" si="35"/>
        <v>449950.40031437483</v>
      </c>
      <c r="E72" s="69"/>
      <c r="F72" s="68">
        <f t="shared" ref="F72:F80" si="39">D71+F71</f>
        <v>9691638.6720987782</v>
      </c>
      <c r="G72" s="68"/>
      <c r="H72" s="68">
        <f>H71+SUM(N69:N71)</f>
        <v>449052.96843336837</v>
      </c>
      <c r="I72" s="68"/>
      <c r="J72" s="68">
        <f>F72+H72</f>
        <v>10140691.640532147</v>
      </c>
      <c r="K72" s="69"/>
      <c r="L72" s="70">
        <f>+'Prime Rate'!I821/12</f>
        <v>2.9083333333333344E-3</v>
      </c>
      <c r="M72" s="72"/>
      <c r="N72" s="68">
        <f t="shared" ref="N72:N80" si="40">J72*L72</f>
        <v>29492.511521214339</v>
      </c>
      <c r="O72" s="68"/>
      <c r="P72" s="68">
        <f>SUM($D$21:D72)+SUM($N$21:N72)</f>
        <v>10620134.552367738</v>
      </c>
      <c r="R72" s="40">
        <v>4</v>
      </c>
    </row>
    <row r="73" spans="2:18" ht="15" customHeight="1">
      <c r="B73" s="67">
        <f t="shared" si="34"/>
        <v>42856</v>
      </c>
      <c r="C73" s="50">
        <f t="shared" si="6"/>
        <v>2017</v>
      </c>
      <c r="D73" s="68">
        <f t="shared" si="35"/>
        <v>449950.40031437483</v>
      </c>
      <c r="E73" s="69"/>
      <c r="F73" s="68">
        <f t="shared" si="39"/>
        <v>10141589.072413154</v>
      </c>
      <c r="G73" s="68"/>
      <c r="H73" s="68">
        <f>H71+SUM(N69:N71)</f>
        <v>449052.96843336837</v>
      </c>
      <c r="I73" s="68"/>
      <c r="J73" s="68">
        <f t="shared" ref="J73:J74" si="41">F73+H73</f>
        <v>10590642.040846523</v>
      </c>
      <c r="K73" s="69"/>
      <c r="L73" s="70">
        <f>+'Prime Rate'!I822/12</f>
        <v>2.9256944444444456E-3</v>
      </c>
      <c r="M73" s="72"/>
      <c r="N73" s="68">
        <f t="shared" si="40"/>
        <v>30984.982582004457</v>
      </c>
      <c r="O73" s="68"/>
      <c r="P73" s="68">
        <f>SUM($D$21:D73)+SUM($N$21:N73)</f>
        <v>11101069.935264116</v>
      </c>
      <c r="R73" s="40">
        <v>5</v>
      </c>
    </row>
    <row r="74" spans="2:18" ht="15.75">
      <c r="B74" s="67">
        <f t="shared" si="34"/>
        <v>42887</v>
      </c>
      <c r="C74" s="50">
        <f t="shared" si="6"/>
        <v>2017</v>
      </c>
      <c r="D74" s="68">
        <f t="shared" si="35"/>
        <v>449950.40031437483</v>
      </c>
      <c r="E74" s="69"/>
      <c r="F74" s="68">
        <f t="shared" si="39"/>
        <v>10591539.47272753</v>
      </c>
      <c r="G74" s="68"/>
      <c r="H74" s="68">
        <f>H71+SUM(N69:N71)</f>
        <v>449052.96843336837</v>
      </c>
      <c r="I74" s="68"/>
      <c r="J74" s="68">
        <f t="shared" si="41"/>
        <v>11040592.441160899</v>
      </c>
      <c r="K74" s="69"/>
      <c r="L74" s="70">
        <f>+'Prime Rate'!I823/12</f>
        <v>2.943055555555556E-3</v>
      </c>
      <c r="M74" s="72"/>
      <c r="N74" s="68">
        <f t="shared" si="40"/>
        <v>32493.076920583262</v>
      </c>
      <c r="O74" s="68"/>
      <c r="P74" s="68">
        <f>SUM($D$21:D74)+SUM($N$21:N74)</f>
        <v>11583513.412499076</v>
      </c>
      <c r="R74" s="40">
        <v>6</v>
      </c>
    </row>
    <row r="75" spans="2:18" ht="15.75">
      <c r="B75" s="67">
        <f t="shared" si="34"/>
        <v>42917</v>
      </c>
      <c r="C75" s="50">
        <f t="shared" si="6"/>
        <v>2017</v>
      </c>
      <c r="D75" s="68">
        <f t="shared" si="35"/>
        <v>449950.40031437483</v>
      </c>
      <c r="E75" s="69"/>
      <c r="F75" s="68">
        <f t="shared" si="39"/>
        <v>11041489.873041905</v>
      </c>
      <c r="G75" s="68"/>
      <c r="H75" s="68">
        <f>H74+SUM(N72:N74)</f>
        <v>542023.53945717041</v>
      </c>
      <c r="I75" s="68"/>
      <c r="J75" s="68">
        <f>F75+H75</f>
        <v>11583513.412499076</v>
      </c>
      <c r="K75" s="69"/>
      <c r="L75" s="70">
        <f>+'Prime Rate'!I824/12</f>
        <v>2.9604166666666672E-3</v>
      </c>
      <c r="M75" s="72"/>
      <c r="N75" s="68">
        <f t="shared" si="40"/>
        <v>34292.026164919145</v>
      </c>
      <c r="O75" s="68"/>
      <c r="P75" s="68">
        <f>SUM($D$21:D75)+SUM($N$21:N75)</f>
        <v>12067755.838978371</v>
      </c>
      <c r="R75" s="40">
        <v>7</v>
      </c>
    </row>
    <row r="76" spans="2:18" ht="15.75">
      <c r="B76" s="67">
        <f t="shared" si="34"/>
        <v>42948</v>
      </c>
      <c r="C76" s="50">
        <f t="shared" si="6"/>
        <v>2017</v>
      </c>
      <c r="D76" s="68">
        <f t="shared" si="35"/>
        <v>449950.40031437483</v>
      </c>
      <c r="E76" s="69"/>
      <c r="F76" s="68">
        <f t="shared" si="39"/>
        <v>11491440.273356281</v>
      </c>
      <c r="G76" s="68"/>
      <c r="H76" s="68">
        <f>H74+SUM(N72:N74)</f>
        <v>542023.53945717041</v>
      </c>
      <c r="I76" s="68"/>
      <c r="J76" s="68">
        <f t="shared" ref="J76:J77" si="42">F76+H76</f>
        <v>12033463.812813452</v>
      </c>
      <c r="K76" s="69"/>
      <c r="L76" s="70">
        <f>+'Prime Rate'!I825/12</f>
        <v>2.9923611111111119E-3</v>
      </c>
      <c r="M76" s="72"/>
      <c r="N76" s="68">
        <f t="shared" si="40"/>
        <v>36008.469145425814</v>
      </c>
      <c r="O76" s="68"/>
      <c r="P76" s="68">
        <f>SUM($D$21:D76)+SUM($N$21:N76)</f>
        <v>12553714.708438173</v>
      </c>
      <c r="R76" s="40">
        <v>8</v>
      </c>
    </row>
    <row r="77" spans="2:18" ht="15.75">
      <c r="B77" s="67">
        <f t="shared" si="34"/>
        <v>42979</v>
      </c>
      <c r="C77" s="50">
        <f t="shared" si="6"/>
        <v>2017</v>
      </c>
      <c r="D77" s="68">
        <f t="shared" si="35"/>
        <v>449950.40031437483</v>
      </c>
      <c r="E77" s="69"/>
      <c r="F77" s="68">
        <f t="shared" si="39"/>
        <v>11941390.673670657</v>
      </c>
      <c r="G77" s="68"/>
      <c r="H77" s="68">
        <f>H74+SUM(N72:N74)</f>
        <v>542023.53945717041</v>
      </c>
      <c r="I77" s="68"/>
      <c r="J77" s="68">
        <f t="shared" si="42"/>
        <v>12483414.213127827</v>
      </c>
      <c r="K77" s="69"/>
      <c r="L77" s="70">
        <f>+'Prime Rate'!I826/12</f>
        <v>3.0243055555555557E-3</v>
      </c>
      <c r="M77" s="72"/>
      <c r="N77" s="68">
        <f t="shared" si="40"/>
        <v>37753.658957063672</v>
      </c>
      <c r="O77" s="68"/>
      <c r="P77" s="68">
        <f>SUM($D$21:D77)+SUM($N$21:N77)</f>
        <v>13041418.767709613</v>
      </c>
      <c r="R77" s="40">
        <v>9</v>
      </c>
    </row>
    <row r="78" spans="2:18" ht="15.75">
      <c r="B78" s="67">
        <f t="shared" si="34"/>
        <v>43009</v>
      </c>
      <c r="C78" s="50">
        <f t="shared" si="6"/>
        <v>2017</v>
      </c>
      <c r="D78" s="68">
        <f t="shared" si="35"/>
        <v>449950.40031437483</v>
      </c>
      <c r="E78" s="69"/>
      <c r="F78" s="68">
        <f t="shared" si="39"/>
        <v>12391341.073985033</v>
      </c>
      <c r="G78" s="68"/>
      <c r="H78" s="68">
        <f>H77+SUM(N75:N77)</f>
        <v>650077.69372457906</v>
      </c>
      <c r="I78" s="68"/>
      <c r="J78" s="68">
        <f>F78+H78</f>
        <v>13041418.767709611</v>
      </c>
      <c r="K78" s="69"/>
      <c r="L78" s="70">
        <f>+'Prime Rate'!I827/12</f>
        <v>3.0562499999999995E-3</v>
      </c>
      <c r="M78" s="72"/>
      <c r="N78" s="68">
        <f t="shared" si="40"/>
        <v>39857.836108812495</v>
      </c>
      <c r="O78" s="68"/>
      <c r="P78" s="68">
        <f>SUM($D$21:D78)+SUM($N$21:N78)</f>
        <v>13531227.0041328</v>
      </c>
      <c r="R78" s="40">
        <v>10</v>
      </c>
    </row>
    <row r="79" spans="2:18" ht="15.75">
      <c r="B79" s="67">
        <f t="shared" si="34"/>
        <v>43040</v>
      </c>
      <c r="C79" s="50">
        <f t="shared" si="6"/>
        <v>2017</v>
      </c>
      <c r="D79" s="68">
        <f t="shared" si="35"/>
        <v>449950.40031437483</v>
      </c>
      <c r="E79" s="69"/>
      <c r="F79" s="68">
        <f t="shared" si="39"/>
        <v>12841291.474299408</v>
      </c>
      <c r="G79" s="68"/>
      <c r="H79" s="68">
        <f>H77+SUM(N75:N77)</f>
        <v>650077.69372457906</v>
      </c>
      <c r="I79" s="68"/>
      <c r="J79" s="68">
        <f t="shared" ref="J79:J80" si="43">F79+H79</f>
        <v>13491369.168023987</v>
      </c>
      <c r="K79" s="69"/>
      <c r="L79" s="70">
        <f>+'Prime Rate'!I828/12</f>
        <v>3.1055555555555554E-3</v>
      </c>
      <c r="M79" s="72"/>
      <c r="N79" s="68">
        <f t="shared" si="40"/>
        <v>41898.196471807823</v>
      </c>
      <c r="O79" s="68"/>
      <c r="P79" s="68">
        <f>SUM($D$21:D79)+SUM($N$21:N79)</f>
        <v>14023075.600918984</v>
      </c>
      <c r="R79" s="40">
        <v>11</v>
      </c>
    </row>
    <row r="80" spans="2:18" ht="15.75">
      <c r="B80" s="67">
        <f t="shared" si="34"/>
        <v>43070</v>
      </c>
      <c r="C80" s="50">
        <f t="shared" si="6"/>
        <v>2017</v>
      </c>
      <c r="D80" s="68">
        <f t="shared" si="35"/>
        <v>449950.40031437483</v>
      </c>
      <c r="E80" s="69"/>
      <c r="F80" s="68">
        <f t="shared" si="39"/>
        <v>13291241.874613784</v>
      </c>
      <c r="G80" s="68"/>
      <c r="H80" s="68">
        <f>H77+SUM(N75:N77)</f>
        <v>650077.69372457906</v>
      </c>
      <c r="I80" s="68"/>
      <c r="J80" s="68">
        <f t="shared" si="43"/>
        <v>13941319.568338363</v>
      </c>
      <c r="K80" s="69"/>
      <c r="L80" s="70">
        <f>+'Prime Rate'!I829/12</f>
        <v>3.1548611111111113E-3</v>
      </c>
      <c r="M80" s="72"/>
      <c r="N80" s="68">
        <f t="shared" si="40"/>
        <v>43982.926943723047</v>
      </c>
      <c r="O80" s="68"/>
      <c r="P80" s="68">
        <f>SUM($D$21:D80)+SUM($N$21:N80)</f>
        <v>14517008.928177083</v>
      </c>
      <c r="R80" s="40">
        <v>12</v>
      </c>
    </row>
    <row r="81" spans="2:18" ht="15.75">
      <c r="B81" s="67">
        <f>DATE($B$11,R81,1)</f>
        <v>43101</v>
      </c>
      <c r="C81" s="50">
        <f t="shared" si="6"/>
        <v>2018</v>
      </c>
      <c r="D81" s="68">
        <f>+$D$11/12</f>
        <v>0</v>
      </c>
      <c r="E81" s="69"/>
      <c r="F81" s="68">
        <f>D80+F80</f>
        <v>13741192.27492816</v>
      </c>
      <c r="G81" s="68"/>
      <c r="H81" s="68">
        <f>H80+SUM(N78:N80)</f>
        <v>775816.65324892243</v>
      </c>
      <c r="I81" s="68"/>
      <c r="J81" s="68">
        <f>F81+H81</f>
        <v>14517008.928177083</v>
      </c>
      <c r="K81" s="69"/>
      <c r="L81" s="70">
        <f>+'Prime Rate'!I830/12</f>
        <v>3.2041666666666672E-3</v>
      </c>
      <c r="M81" s="72"/>
      <c r="N81" s="68">
        <f t="shared" ref="N81:N83" si="44">J81*L81</f>
        <v>46514.916107367411</v>
      </c>
      <c r="O81" s="68"/>
      <c r="P81" s="68">
        <f>SUM($D$21:D81)+SUM($N$21:N81)</f>
        <v>14563523.844284451</v>
      </c>
      <c r="R81" s="40">
        <v>1</v>
      </c>
    </row>
    <row r="82" spans="2:18" ht="15.75">
      <c r="B82" s="67">
        <f t="shared" ref="B82:B92" si="45">DATE($B$11,R82,1)</f>
        <v>43132</v>
      </c>
      <c r="C82" s="50">
        <f t="shared" si="6"/>
        <v>2018</v>
      </c>
      <c r="D82" s="68">
        <f t="shared" ref="D82:D92" si="46">+$D$11/12</f>
        <v>0</v>
      </c>
      <c r="E82" s="69"/>
      <c r="F82" s="68">
        <f t="shared" ref="F82:F91" si="47">D81+F81</f>
        <v>13741192.27492816</v>
      </c>
      <c r="G82" s="68"/>
      <c r="H82" s="68">
        <f>H80+SUM(N78:N80)</f>
        <v>775816.65324892243</v>
      </c>
      <c r="I82" s="68"/>
      <c r="J82" s="68">
        <f t="shared" ref="J82:J83" si="48">F82+H82</f>
        <v>14517008.928177083</v>
      </c>
      <c r="K82" s="69"/>
      <c r="L82" s="70">
        <f>+'Prime Rate'!I831/12</f>
        <v>3.25625E-3</v>
      </c>
      <c r="M82" s="72"/>
      <c r="N82" s="68">
        <f t="shared" si="44"/>
        <v>47271.010322376627</v>
      </c>
      <c r="O82" s="68"/>
      <c r="P82" s="68">
        <f>SUM($D$21:D82)+SUM($N$21:N82)</f>
        <v>14610794.854606826</v>
      </c>
      <c r="R82" s="40">
        <v>2</v>
      </c>
    </row>
    <row r="83" spans="2:18" ht="15.75">
      <c r="B83" s="67">
        <f t="shared" si="45"/>
        <v>43160</v>
      </c>
      <c r="C83" s="50">
        <f t="shared" si="6"/>
        <v>2018</v>
      </c>
      <c r="D83" s="68">
        <f t="shared" si="46"/>
        <v>0</v>
      </c>
      <c r="E83" s="69"/>
      <c r="F83" s="68">
        <f t="shared" si="47"/>
        <v>13741192.27492816</v>
      </c>
      <c r="G83" s="68"/>
      <c r="H83" s="68">
        <f>H80+SUM(N78:N80)</f>
        <v>775816.65324892243</v>
      </c>
      <c r="I83" s="68"/>
      <c r="J83" s="68">
        <f t="shared" si="48"/>
        <v>14517008.928177083</v>
      </c>
      <c r="K83" s="69"/>
      <c r="L83" s="70">
        <f>+'Prime Rate'!I832/12</f>
        <v>3.3083333333333337E-3</v>
      </c>
      <c r="M83" s="72"/>
      <c r="N83" s="68">
        <f t="shared" si="44"/>
        <v>48027.104537385858</v>
      </c>
      <c r="O83" s="68"/>
      <c r="P83" s="68">
        <f>SUM($D$21:D83)+SUM($N$21:N83)</f>
        <v>14658821.959144212</v>
      </c>
      <c r="R83" s="40">
        <v>3</v>
      </c>
    </row>
    <row r="84" spans="2:18" ht="15.75">
      <c r="B84" s="67">
        <f t="shared" si="45"/>
        <v>43191</v>
      </c>
      <c r="C84" s="50">
        <f t="shared" si="6"/>
        <v>2018</v>
      </c>
      <c r="D84" s="68">
        <f t="shared" si="46"/>
        <v>0</v>
      </c>
      <c r="E84" s="69"/>
      <c r="F84" s="68">
        <f t="shared" si="47"/>
        <v>13741192.27492816</v>
      </c>
      <c r="G84" s="68"/>
      <c r="H84" s="68">
        <f>H83+SUM(N81:N83)</f>
        <v>917629.68421605229</v>
      </c>
      <c r="I84" s="68"/>
      <c r="J84" s="68">
        <f>F84+H84</f>
        <v>14658821.959144212</v>
      </c>
      <c r="K84" s="69"/>
      <c r="L84" s="70">
        <f>+'Prime Rate'!I833/12</f>
        <v>3.3604166666666665E-3</v>
      </c>
      <c r="M84" s="72"/>
      <c r="N84" s="68">
        <f t="shared" ref="N84:N85" si="49">J84*L84</f>
        <v>49259.749625207529</v>
      </c>
      <c r="O84" s="68"/>
      <c r="P84" s="68">
        <f>SUM($D$21:D84)+SUM($N$21:N84)</f>
        <v>14708081.70876942</v>
      </c>
      <c r="R84" s="40">
        <v>4</v>
      </c>
    </row>
    <row r="85" spans="2:18" ht="15.75">
      <c r="B85" s="67">
        <f t="shared" si="45"/>
        <v>43221</v>
      </c>
      <c r="C85" s="50">
        <f t="shared" si="6"/>
        <v>2018</v>
      </c>
      <c r="D85" s="68">
        <f t="shared" si="46"/>
        <v>0</v>
      </c>
      <c r="E85" s="69"/>
      <c r="F85" s="68">
        <f t="shared" si="47"/>
        <v>13741192.27492816</v>
      </c>
      <c r="G85" s="68"/>
      <c r="H85" s="68">
        <f>H83+SUM(N81:N83)</f>
        <v>917629.68421605229</v>
      </c>
      <c r="I85" s="68"/>
      <c r="J85" s="68">
        <f t="shared" ref="J85" si="50">F85+H85</f>
        <v>14658821.959144212</v>
      </c>
      <c r="K85" s="69"/>
      <c r="L85" s="70">
        <f>+'Prime Rate'!I834/12</f>
        <v>3.4131944444444444E-3</v>
      </c>
      <c r="M85" s="72"/>
      <c r="N85" s="68">
        <f t="shared" si="49"/>
        <v>50033.409673051254</v>
      </c>
      <c r="O85" s="68"/>
      <c r="P85" s="68">
        <f>SUM($D$21:D85)+SUM($N$21:N85)</f>
        <v>14758115.11844247</v>
      </c>
      <c r="R85" s="40">
        <v>5</v>
      </c>
    </row>
    <row r="86" spans="2:18" ht="15.75">
      <c r="B86" s="67">
        <f t="shared" si="45"/>
        <v>43252</v>
      </c>
      <c r="C86" s="50">
        <f t="shared" ref="C86:C98" si="51">+YEAR(B86)</f>
        <v>2018</v>
      </c>
      <c r="D86" s="68">
        <f t="shared" si="46"/>
        <v>0</v>
      </c>
      <c r="E86" s="69"/>
      <c r="F86" s="68">
        <f t="shared" si="47"/>
        <v>13741192.27492816</v>
      </c>
      <c r="G86" s="68"/>
      <c r="H86" s="68">
        <f>H83+SUM(N81:N83)</f>
        <v>917629.68421605229</v>
      </c>
      <c r="I86" s="68"/>
      <c r="J86" s="68">
        <f>F86+H86</f>
        <v>14658821.959144212</v>
      </c>
      <c r="K86" s="69"/>
      <c r="L86" s="70">
        <f>+'Prime Rate'!I835/12</f>
        <v>3.4659722222222223E-3</v>
      </c>
      <c r="M86" s="72"/>
      <c r="N86" s="68">
        <f>J86*L86</f>
        <v>50807.069720894979</v>
      </c>
      <c r="O86" s="68"/>
      <c r="P86" s="68">
        <f>SUM($D$21:D86)+SUM($N$21:N86)</f>
        <v>14808922.188163366</v>
      </c>
      <c r="R86" s="40">
        <v>6</v>
      </c>
    </row>
    <row r="87" spans="2:18" ht="15.75">
      <c r="B87" s="67">
        <f t="shared" si="45"/>
        <v>43282</v>
      </c>
      <c r="C87" s="50">
        <f t="shared" si="51"/>
        <v>2018</v>
      </c>
      <c r="D87" s="68">
        <f t="shared" si="46"/>
        <v>0</v>
      </c>
      <c r="E87" s="69"/>
      <c r="F87" s="68">
        <f t="shared" si="47"/>
        <v>13741192.27492816</v>
      </c>
      <c r="G87" s="68"/>
      <c r="H87" s="68">
        <f t="shared" ref="H87:H91" si="52">H84+SUM(N82:N84)</f>
        <v>1062187.5487010223</v>
      </c>
      <c r="I87" s="68"/>
      <c r="J87" s="68">
        <f t="shared" ref="J87:J98" si="53">F87+H87</f>
        <v>14803379.823629182</v>
      </c>
      <c r="K87" s="69"/>
      <c r="L87" s="70">
        <f>+'Prime Rate'!I836/12</f>
        <v>3.5187499999999993E-3</v>
      </c>
      <c r="M87" s="72"/>
      <c r="N87" s="68">
        <f t="shared" ref="N87:N98" si="54">J87*L87</f>
        <v>52089.392754395172</v>
      </c>
      <c r="O87" s="68"/>
      <c r="P87" s="68">
        <f>SUM($D$21:D87)+SUM($N$21:N87)</f>
        <v>14861011.580917761</v>
      </c>
      <c r="R87" s="40">
        <v>7</v>
      </c>
    </row>
    <row r="88" spans="2:18" ht="15.75">
      <c r="B88" s="67">
        <f t="shared" si="45"/>
        <v>43313</v>
      </c>
      <c r="C88" s="50">
        <f t="shared" si="51"/>
        <v>2018</v>
      </c>
      <c r="D88" s="68">
        <f t="shared" si="46"/>
        <v>0</v>
      </c>
      <c r="E88" s="69"/>
      <c r="F88" s="68">
        <f t="shared" si="47"/>
        <v>13741192.27492816</v>
      </c>
      <c r="G88" s="68"/>
      <c r="H88" s="68">
        <f t="shared" si="52"/>
        <v>1064949.9480516969</v>
      </c>
      <c r="I88" s="68"/>
      <c r="J88" s="68">
        <f t="shared" si="53"/>
        <v>14806142.222979857</v>
      </c>
      <c r="K88" s="69"/>
      <c r="L88" s="70">
        <f>+'Prime Rate'!I837/12</f>
        <v>3.5694444444444445E-3</v>
      </c>
      <c r="M88" s="72"/>
      <c r="N88" s="68">
        <f t="shared" si="54"/>
        <v>52849.702101469768</v>
      </c>
      <c r="O88" s="68"/>
      <c r="P88" s="68">
        <f>SUM($D$21:D88)+SUM($N$21:N88)</f>
        <v>14913861.283019232</v>
      </c>
      <c r="R88" s="40">
        <v>8</v>
      </c>
    </row>
    <row r="89" spans="2:18" ht="15.75">
      <c r="B89" s="67">
        <f t="shared" si="45"/>
        <v>43344</v>
      </c>
      <c r="C89" s="50">
        <f t="shared" si="51"/>
        <v>2018</v>
      </c>
      <c r="D89" s="68">
        <f t="shared" si="46"/>
        <v>0</v>
      </c>
      <c r="E89" s="69"/>
      <c r="F89" s="68">
        <f t="shared" si="47"/>
        <v>13741192.27492816</v>
      </c>
      <c r="G89" s="68"/>
      <c r="H89" s="68">
        <f t="shared" si="52"/>
        <v>1067729.9132352062</v>
      </c>
      <c r="I89" s="68"/>
      <c r="J89" s="68">
        <f t="shared" si="53"/>
        <v>14808922.188163366</v>
      </c>
      <c r="K89" s="69"/>
      <c r="L89" s="70">
        <f>+'Prime Rate'!I838/12</f>
        <v>3.6201388888888898E-3</v>
      </c>
      <c r="M89" s="72"/>
      <c r="N89" s="68">
        <f t="shared" si="54"/>
        <v>53610.355115899758</v>
      </c>
      <c r="O89" s="68"/>
      <c r="P89" s="68">
        <f>SUM($D$21:D89)+SUM($N$21:N89)</f>
        <v>14967471.638135131</v>
      </c>
      <c r="R89" s="40">
        <v>9</v>
      </c>
    </row>
    <row r="90" spans="2:18" ht="15.75">
      <c r="B90" s="67">
        <f t="shared" si="45"/>
        <v>43374</v>
      </c>
      <c r="C90" s="50">
        <f t="shared" si="51"/>
        <v>2018</v>
      </c>
      <c r="D90" s="68">
        <f t="shared" si="46"/>
        <v>0</v>
      </c>
      <c r="F90" s="68">
        <f t="shared" si="47"/>
        <v>13741192.27492816</v>
      </c>
      <c r="H90" s="68">
        <f t="shared" si="52"/>
        <v>1215117.4208493638</v>
      </c>
      <c r="J90" s="68">
        <f t="shared" si="53"/>
        <v>14956309.695777524</v>
      </c>
      <c r="L90" s="70">
        <f>+'Prime Rate'!I839/12</f>
        <v>3.6708333333333337E-3</v>
      </c>
      <c r="N90" s="68">
        <f t="shared" si="54"/>
        <v>54902.120174916665</v>
      </c>
      <c r="P90" s="68">
        <f>SUM($D$21:D90)+SUM($N$21:N90)</f>
        <v>15022373.758310048</v>
      </c>
      <c r="R90" s="40">
        <v>10</v>
      </c>
    </row>
    <row r="91" spans="2:18" ht="15.75">
      <c r="B91" s="67">
        <f t="shared" si="45"/>
        <v>43405</v>
      </c>
      <c r="C91" s="50">
        <f t="shared" si="51"/>
        <v>2018</v>
      </c>
      <c r="D91" s="68">
        <f t="shared" si="46"/>
        <v>0</v>
      </c>
      <c r="F91" s="68">
        <f t="shared" si="47"/>
        <v>13741192.27492816</v>
      </c>
      <c r="H91" s="68">
        <f t="shared" si="52"/>
        <v>1220696.1126284567</v>
      </c>
      <c r="J91" s="68">
        <f t="shared" si="53"/>
        <v>14961888.387556616</v>
      </c>
      <c r="L91" s="70">
        <f>+'Prime Rate'!I840/12</f>
        <v>3.7229166666666665E-3</v>
      </c>
      <c r="N91" s="68">
        <f t="shared" si="54"/>
        <v>55701.863642840981</v>
      </c>
      <c r="P91" s="68">
        <f>SUM($D$21:D91)+SUM($N$21:N91)</f>
        <v>15078075.621952888</v>
      </c>
      <c r="R91" s="40">
        <v>11</v>
      </c>
    </row>
    <row r="92" spans="2:18" ht="15.75">
      <c r="B92" s="67">
        <f t="shared" si="45"/>
        <v>43435</v>
      </c>
      <c r="C92" s="50">
        <f t="shared" si="51"/>
        <v>2018</v>
      </c>
      <c r="D92" s="68">
        <f t="shared" si="46"/>
        <v>0</v>
      </c>
      <c r="F92" s="68">
        <f>D91+F91</f>
        <v>13741192.27492816</v>
      </c>
      <c r="H92" s="68">
        <f>H89+SUM(N87:N89)</f>
        <v>1226279.363206971</v>
      </c>
      <c r="J92" s="68">
        <f t="shared" si="53"/>
        <v>14967471.638135131</v>
      </c>
      <c r="L92" s="70">
        <f>+'Prime Rate'!I841/12</f>
        <v>3.7750000000000001E-3</v>
      </c>
      <c r="N92" s="68">
        <f t="shared" si="54"/>
        <v>56502.205433960124</v>
      </c>
      <c r="P92" s="68">
        <f>SUM($D$21:D92)+SUM($N$21:N92)</f>
        <v>15134577.827386849</v>
      </c>
      <c r="R92" s="40">
        <v>12</v>
      </c>
    </row>
    <row r="93" spans="2:18" ht="15.75">
      <c r="B93" s="67">
        <f>DATE($B$12,R93,1)</f>
        <v>43466</v>
      </c>
      <c r="C93" s="50">
        <f t="shared" si="51"/>
        <v>2019</v>
      </c>
      <c r="D93" s="68">
        <f>+$D$12/12</f>
        <v>0</v>
      </c>
      <c r="F93" s="68">
        <f t="shared" ref="F93:F98" si="55">D92+F92</f>
        <v>13741192.27492816</v>
      </c>
      <c r="H93" s="68">
        <f t="shared" ref="H93:H97" si="56">H90+SUM(N88:N90)</f>
        <v>1376479.59824165</v>
      </c>
      <c r="J93" s="68">
        <f t="shared" si="53"/>
        <v>15117671.87316981</v>
      </c>
      <c r="L93" s="70">
        <f>+'Prime Rate'!I842/12</f>
        <v>3.8270833333333329E-3</v>
      </c>
      <c r="N93" s="68">
        <f t="shared" si="54"/>
        <v>57856.590064610289</v>
      </c>
      <c r="P93" s="68">
        <f>SUM($D$21:D93)+SUM($N$21:N93)</f>
        <v>15192434.417451458</v>
      </c>
      <c r="R93" s="40">
        <v>1</v>
      </c>
    </row>
    <row r="94" spans="2:18" ht="15.75">
      <c r="B94" s="67">
        <f t="shared" ref="B94:B98" si="57">DATE($B$12,R94,1)</f>
        <v>43497</v>
      </c>
      <c r="C94" s="50">
        <f t="shared" si="51"/>
        <v>2019</v>
      </c>
      <c r="D94" s="68">
        <f t="shared" ref="D94:D98" si="58">+$D$12/12</f>
        <v>0</v>
      </c>
      <c r="F94" s="68">
        <f t="shared" si="55"/>
        <v>13741192.27492816</v>
      </c>
      <c r="H94" s="68">
        <f t="shared" si="56"/>
        <v>1384910.4515621141</v>
      </c>
      <c r="J94" s="68">
        <f t="shared" si="53"/>
        <v>15126102.726490274</v>
      </c>
      <c r="L94" s="70">
        <f>+'Prime Rate'!I843/12</f>
        <v>3.8916666666666661E-3</v>
      </c>
      <c r="N94" s="68">
        <f t="shared" si="54"/>
        <v>58865.749777257974</v>
      </c>
      <c r="P94" s="68">
        <f>SUM($D$21:D94)+SUM($N$21:N94)</f>
        <v>15251300.167228717</v>
      </c>
      <c r="R94" s="40">
        <v>2</v>
      </c>
    </row>
    <row r="95" spans="2:18" ht="15.75">
      <c r="B95" s="67">
        <f t="shared" si="57"/>
        <v>43525</v>
      </c>
      <c r="C95" s="50">
        <f t="shared" si="51"/>
        <v>2019</v>
      </c>
      <c r="D95" s="68">
        <f t="shared" si="58"/>
        <v>0</v>
      </c>
      <c r="F95" s="68">
        <f t="shared" si="55"/>
        <v>13741192.27492816</v>
      </c>
      <c r="H95" s="68">
        <f t="shared" si="56"/>
        <v>1393385.5524586886</v>
      </c>
      <c r="J95" s="68">
        <f t="shared" si="53"/>
        <v>15134577.827386849</v>
      </c>
      <c r="L95" s="70">
        <f>+'Prime Rate'!I844/12</f>
        <v>3.9562499999999988E-3</v>
      </c>
      <c r="N95" s="68">
        <f t="shared" si="54"/>
        <v>59876.173529599204</v>
      </c>
      <c r="P95" s="68">
        <f>SUM($D$21:D95)+SUM($N$21:N95)</f>
        <v>15311176.340758316</v>
      </c>
      <c r="R95" s="40">
        <v>3</v>
      </c>
    </row>
    <row r="96" spans="2:18" ht="15.75">
      <c r="B96" s="67">
        <f t="shared" si="57"/>
        <v>43556</v>
      </c>
      <c r="C96" s="50">
        <f t="shared" si="51"/>
        <v>2019</v>
      </c>
      <c r="D96" s="68">
        <f t="shared" si="58"/>
        <v>0</v>
      </c>
      <c r="F96" s="68">
        <f t="shared" si="55"/>
        <v>13741192.27492816</v>
      </c>
      <c r="H96" s="68">
        <f t="shared" si="56"/>
        <v>1546540.2573830613</v>
      </c>
      <c r="J96" s="68">
        <f t="shared" si="53"/>
        <v>15287732.532311222</v>
      </c>
      <c r="L96" s="70">
        <f>+'Prime Rate'!I845/12</f>
        <v>4.020833333333332E-3</v>
      </c>
      <c r="N96" s="68">
        <f t="shared" si="54"/>
        <v>61469.424557001352</v>
      </c>
      <c r="P96" s="68">
        <f>SUM($D$21:D96)+SUM($N$21:N96)</f>
        <v>15372645.765315317</v>
      </c>
      <c r="R96" s="40">
        <v>4</v>
      </c>
    </row>
    <row r="97" spans="2:18" ht="15.75">
      <c r="B97" s="67">
        <f t="shared" si="57"/>
        <v>43586</v>
      </c>
      <c r="C97" s="50">
        <f t="shared" si="51"/>
        <v>2019</v>
      </c>
      <c r="D97" s="68">
        <f t="shared" si="58"/>
        <v>0</v>
      </c>
      <c r="F97" s="68">
        <f t="shared" si="55"/>
        <v>13741192.27492816</v>
      </c>
      <c r="H97" s="68">
        <f t="shared" si="56"/>
        <v>1558134.9968379424</v>
      </c>
      <c r="J97" s="68">
        <f t="shared" si="53"/>
        <v>15299327.271766102</v>
      </c>
      <c r="L97" s="70">
        <f>+'Prime Rate'!I846/12</f>
        <v>4.0701388888888888E-3</v>
      </c>
      <c r="N97" s="68">
        <f t="shared" si="54"/>
        <v>62270.386902653554</v>
      </c>
      <c r="P97" s="68">
        <f>SUM($D$21:D97)+SUM($N$21:N97)</f>
        <v>15434916.152217971</v>
      </c>
      <c r="R97" s="40">
        <v>5</v>
      </c>
    </row>
    <row r="98" spans="2:18" ht="15.75">
      <c r="B98" s="67">
        <f t="shared" si="57"/>
        <v>43617</v>
      </c>
      <c r="C98" s="50">
        <f t="shared" si="51"/>
        <v>2019</v>
      </c>
      <c r="D98" s="68">
        <f t="shared" si="58"/>
        <v>0</v>
      </c>
      <c r="F98" s="68">
        <f t="shared" si="55"/>
        <v>13741192.27492816</v>
      </c>
      <c r="H98" s="68">
        <f>H95+SUM(N93:N95)</f>
        <v>1569984.0658301562</v>
      </c>
      <c r="J98" s="68">
        <f t="shared" si="53"/>
        <v>15311176.340758316</v>
      </c>
      <c r="L98" s="70">
        <f>+'Prime Rate'!I847/12</f>
        <v>4.1194444444444438E-3</v>
      </c>
      <c r="N98" s="68">
        <f t="shared" si="54"/>
        <v>63073.540314846054</v>
      </c>
      <c r="P98" s="68">
        <f>SUM($D$21:D98)+SUM($N$21:N98)</f>
        <v>15497989.692532817</v>
      </c>
      <c r="R98" s="40">
        <v>6</v>
      </c>
    </row>
    <row r="99" spans="2:18" ht="15.75">
      <c r="H99" s="68"/>
    </row>
  </sheetData>
  <pageMargins left="0.7" right="0.7" top="0.75" bottom="0.75" header="0.3" footer="0.3"/>
  <pageSetup fitToHeight="0" orientation="portrait" r:id="rId1"/>
  <headerFooter>
    <oddFooter>&amp;C&amp;"Calibri,Regular"&amp;11&amp;B&amp;K000000AEP CONFIDENTIAL</oddFooter>
    <evenFooter>&amp;C&amp;"Calibri,Regular"&amp;11&amp;B&amp;K000000AEP CONFIDENTIAL</evenFooter>
    <firstFooter>&amp;C&amp;"Calibri,Regular"&amp;11&amp;B&amp;K000000AEP CONFIDENTIAL</firstFooter>
  </headerFooter>
  <colBreaks count="1" manualBreakCount="1">
    <brk id="14"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W1165"/>
  <sheetViews>
    <sheetView workbookViewId="0">
      <pane ySplit="1" topLeftCell="A828" activePane="bottomLeft" state="frozen"/>
      <selection pane="bottomLeft" activeCell="C846" sqref="C846"/>
    </sheetView>
  </sheetViews>
  <sheetFormatPr defaultRowHeight="15"/>
  <cols>
    <col min="1" max="1" width="10.28515625" style="15" customWidth="1"/>
    <col min="2" max="2" width="9.85546875" style="10" customWidth="1"/>
    <col min="3" max="3" width="12.42578125" style="47" customWidth="1"/>
    <col min="4" max="4" width="2.7109375" style="14" customWidth="1"/>
    <col min="5" max="5" width="8.85546875" style="15" customWidth="1"/>
    <col min="6" max="6" width="11.42578125" style="47" customWidth="1"/>
    <col min="7" max="7" width="2.7109375" style="14" customWidth="1"/>
    <col min="8" max="8" width="9.140625" style="14" bestFit="1" customWidth="1"/>
    <col min="9" max="9" width="14" style="14" customWidth="1"/>
    <col min="10" max="10" width="13.42578125" style="14" customWidth="1"/>
    <col min="11" max="256" width="9.140625" style="14"/>
    <col min="257" max="257" width="10.28515625" style="14" customWidth="1"/>
    <col min="258" max="258" width="9.85546875" style="14" customWidth="1"/>
    <col min="259" max="259" width="12.42578125" style="14" customWidth="1"/>
    <col min="260" max="260" width="2.7109375" style="14" customWidth="1"/>
    <col min="261" max="261" width="8.85546875" style="14" customWidth="1"/>
    <col min="262" max="262" width="11.42578125" style="14" customWidth="1"/>
    <col min="263" max="263" width="2.7109375" style="14" customWidth="1"/>
    <col min="264" max="264" width="9.140625" style="14" bestFit="1" customWidth="1"/>
    <col min="265" max="265" width="14" style="14" customWidth="1"/>
    <col min="266" max="266" width="13.42578125" style="14" customWidth="1"/>
    <col min="267" max="512" width="9.140625" style="14"/>
    <col min="513" max="513" width="10.28515625" style="14" customWidth="1"/>
    <col min="514" max="514" width="9.85546875" style="14" customWidth="1"/>
    <col min="515" max="515" width="12.42578125" style="14" customWidth="1"/>
    <col min="516" max="516" width="2.7109375" style="14" customWidth="1"/>
    <col min="517" max="517" width="8.85546875" style="14" customWidth="1"/>
    <col min="518" max="518" width="11.42578125" style="14" customWidth="1"/>
    <col min="519" max="519" width="2.7109375" style="14" customWidth="1"/>
    <col min="520" max="520" width="9.140625" style="14" bestFit="1" customWidth="1"/>
    <col min="521" max="521" width="14" style="14" customWidth="1"/>
    <col min="522" max="522" width="13.42578125" style="14" customWidth="1"/>
    <col min="523" max="768" width="9.140625" style="14"/>
    <col min="769" max="769" width="10.28515625" style="14" customWidth="1"/>
    <col min="770" max="770" width="9.85546875" style="14" customWidth="1"/>
    <col min="771" max="771" width="12.42578125" style="14" customWidth="1"/>
    <col min="772" max="772" width="2.7109375" style="14" customWidth="1"/>
    <col min="773" max="773" width="8.85546875" style="14" customWidth="1"/>
    <col min="774" max="774" width="11.42578125" style="14" customWidth="1"/>
    <col min="775" max="775" width="2.7109375" style="14" customWidth="1"/>
    <col min="776" max="776" width="9.140625" style="14" bestFit="1" customWidth="1"/>
    <col min="777" max="777" width="14" style="14" customWidth="1"/>
    <col min="778" max="778" width="13.42578125" style="14" customWidth="1"/>
    <col min="779" max="1024" width="9.140625" style="14"/>
    <col min="1025" max="1025" width="10.28515625" style="14" customWidth="1"/>
    <col min="1026" max="1026" width="9.85546875" style="14" customWidth="1"/>
    <col min="1027" max="1027" width="12.42578125" style="14" customWidth="1"/>
    <col min="1028" max="1028" width="2.7109375" style="14" customWidth="1"/>
    <col min="1029" max="1029" width="8.85546875" style="14" customWidth="1"/>
    <col min="1030" max="1030" width="11.42578125" style="14" customWidth="1"/>
    <col min="1031" max="1031" width="2.7109375" style="14" customWidth="1"/>
    <col min="1032" max="1032" width="9.140625" style="14" bestFit="1" customWidth="1"/>
    <col min="1033" max="1033" width="14" style="14" customWidth="1"/>
    <col min="1034" max="1034" width="13.42578125" style="14" customWidth="1"/>
    <col min="1035" max="1280" width="9.140625" style="14"/>
    <col min="1281" max="1281" width="10.28515625" style="14" customWidth="1"/>
    <col min="1282" max="1282" width="9.85546875" style="14" customWidth="1"/>
    <col min="1283" max="1283" width="12.42578125" style="14" customWidth="1"/>
    <col min="1284" max="1284" width="2.7109375" style="14" customWidth="1"/>
    <col min="1285" max="1285" width="8.85546875" style="14" customWidth="1"/>
    <col min="1286" max="1286" width="11.42578125" style="14" customWidth="1"/>
    <col min="1287" max="1287" width="2.7109375" style="14" customWidth="1"/>
    <col min="1288" max="1288" width="9.140625" style="14" bestFit="1" customWidth="1"/>
    <col min="1289" max="1289" width="14" style="14" customWidth="1"/>
    <col min="1290" max="1290" width="13.42578125" style="14" customWidth="1"/>
    <col min="1291" max="1536" width="9.140625" style="14"/>
    <col min="1537" max="1537" width="10.28515625" style="14" customWidth="1"/>
    <col min="1538" max="1538" width="9.85546875" style="14" customWidth="1"/>
    <col min="1539" max="1539" width="12.42578125" style="14" customWidth="1"/>
    <col min="1540" max="1540" width="2.7109375" style="14" customWidth="1"/>
    <col min="1541" max="1541" width="8.85546875" style="14" customWidth="1"/>
    <col min="1542" max="1542" width="11.42578125" style="14" customWidth="1"/>
    <col min="1543" max="1543" width="2.7109375" style="14" customWidth="1"/>
    <col min="1544" max="1544" width="9.140625" style="14" bestFit="1" customWidth="1"/>
    <col min="1545" max="1545" width="14" style="14" customWidth="1"/>
    <col min="1546" max="1546" width="13.42578125" style="14" customWidth="1"/>
    <col min="1547" max="1792" width="9.140625" style="14"/>
    <col min="1793" max="1793" width="10.28515625" style="14" customWidth="1"/>
    <col min="1794" max="1794" width="9.85546875" style="14" customWidth="1"/>
    <col min="1795" max="1795" width="12.42578125" style="14" customWidth="1"/>
    <col min="1796" max="1796" width="2.7109375" style="14" customWidth="1"/>
    <col min="1797" max="1797" width="8.85546875" style="14" customWidth="1"/>
    <col min="1798" max="1798" width="11.42578125" style="14" customWidth="1"/>
    <col min="1799" max="1799" width="2.7109375" style="14" customWidth="1"/>
    <col min="1800" max="1800" width="9.140625" style="14" bestFit="1" customWidth="1"/>
    <col min="1801" max="1801" width="14" style="14" customWidth="1"/>
    <col min="1802" max="1802" width="13.42578125" style="14" customWidth="1"/>
    <col min="1803" max="2048" width="9.140625" style="14"/>
    <col min="2049" max="2049" width="10.28515625" style="14" customWidth="1"/>
    <col min="2050" max="2050" width="9.85546875" style="14" customWidth="1"/>
    <col min="2051" max="2051" width="12.42578125" style="14" customWidth="1"/>
    <col min="2052" max="2052" width="2.7109375" style="14" customWidth="1"/>
    <col min="2053" max="2053" width="8.85546875" style="14" customWidth="1"/>
    <col min="2054" max="2054" width="11.42578125" style="14" customWidth="1"/>
    <col min="2055" max="2055" width="2.7109375" style="14" customWidth="1"/>
    <col min="2056" max="2056" width="9.140625" style="14" bestFit="1" customWidth="1"/>
    <col min="2057" max="2057" width="14" style="14" customWidth="1"/>
    <col min="2058" max="2058" width="13.42578125" style="14" customWidth="1"/>
    <col min="2059" max="2304" width="9.140625" style="14"/>
    <col min="2305" max="2305" width="10.28515625" style="14" customWidth="1"/>
    <col min="2306" max="2306" width="9.85546875" style="14" customWidth="1"/>
    <col min="2307" max="2307" width="12.42578125" style="14" customWidth="1"/>
    <col min="2308" max="2308" width="2.7109375" style="14" customWidth="1"/>
    <col min="2309" max="2309" width="8.85546875" style="14" customWidth="1"/>
    <col min="2310" max="2310" width="11.42578125" style="14" customWidth="1"/>
    <col min="2311" max="2311" width="2.7109375" style="14" customWidth="1"/>
    <col min="2312" max="2312" width="9.140625" style="14" bestFit="1" customWidth="1"/>
    <col min="2313" max="2313" width="14" style="14" customWidth="1"/>
    <col min="2314" max="2314" width="13.42578125" style="14" customWidth="1"/>
    <col min="2315" max="2560" width="9.140625" style="14"/>
    <col min="2561" max="2561" width="10.28515625" style="14" customWidth="1"/>
    <col min="2562" max="2562" width="9.85546875" style="14" customWidth="1"/>
    <col min="2563" max="2563" width="12.42578125" style="14" customWidth="1"/>
    <col min="2564" max="2564" width="2.7109375" style="14" customWidth="1"/>
    <col min="2565" max="2565" width="8.85546875" style="14" customWidth="1"/>
    <col min="2566" max="2566" width="11.42578125" style="14" customWidth="1"/>
    <col min="2567" max="2567" width="2.7109375" style="14" customWidth="1"/>
    <col min="2568" max="2568" width="9.140625" style="14" bestFit="1" customWidth="1"/>
    <col min="2569" max="2569" width="14" style="14" customWidth="1"/>
    <col min="2570" max="2570" width="13.42578125" style="14" customWidth="1"/>
    <col min="2571" max="2816" width="9.140625" style="14"/>
    <col min="2817" max="2817" width="10.28515625" style="14" customWidth="1"/>
    <col min="2818" max="2818" width="9.85546875" style="14" customWidth="1"/>
    <col min="2819" max="2819" width="12.42578125" style="14" customWidth="1"/>
    <col min="2820" max="2820" width="2.7109375" style="14" customWidth="1"/>
    <col min="2821" max="2821" width="8.85546875" style="14" customWidth="1"/>
    <col min="2822" max="2822" width="11.42578125" style="14" customWidth="1"/>
    <col min="2823" max="2823" width="2.7109375" style="14" customWidth="1"/>
    <col min="2824" max="2824" width="9.140625" style="14" bestFit="1" customWidth="1"/>
    <col min="2825" max="2825" width="14" style="14" customWidth="1"/>
    <col min="2826" max="2826" width="13.42578125" style="14" customWidth="1"/>
    <col min="2827" max="3072" width="9.140625" style="14"/>
    <col min="3073" max="3073" width="10.28515625" style="14" customWidth="1"/>
    <col min="3074" max="3074" width="9.85546875" style="14" customWidth="1"/>
    <col min="3075" max="3075" width="12.42578125" style="14" customWidth="1"/>
    <col min="3076" max="3076" width="2.7109375" style="14" customWidth="1"/>
    <col min="3077" max="3077" width="8.85546875" style="14" customWidth="1"/>
    <col min="3078" max="3078" width="11.42578125" style="14" customWidth="1"/>
    <col min="3079" max="3079" width="2.7109375" style="14" customWidth="1"/>
    <col min="3080" max="3080" width="9.140625" style="14" bestFit="1" customWidth="1"/>
    <col min="3081" max="3081" width="14" style="14" customWidth="1"/>
    <col min="3082" max="3082" width="13.42578125" style="14" customWidth="1"/>
    <col min="3083" max="3328" width="9.140625" style="14"/>
    <col min="3329" max="3329" width="10.28515625" style="14" customWidth="1"/>
    <col min="3330" max="3330" width="9.85546875" style="14" customWidth="1"/>
    <col min="3331" max="3331" width="12.42578125" style="14" customWidth="1"/>
    <col min="3332" max="3332" width="2.7109375" style="14" customWidth="1"/>
    <col min="3333" max="3333" width="8.85546875" style="14" customWidth="1"/>
    <col min="3334" max="3334" width="11.42578125" style="14" customWidth="1"/>
    <col min="3335" max="3335" width="2.7109375" style="14" customWidth="1"/>
    <col min="3336" max="3336" width="9.140625" style="14" bestFit="1" customWidth="1"/>
    <col min="3337" max="3337" width="14" style="14" customWidth="1"/>
    <col min="3338" max="3338" width="13.42578125" style="14" customWidth="1"/>
    <col min="3339" max="3584" width="9.140625" style="14"/>
    <col min="3585" max="3585" width="10.28515625" style="14" customWidth="1"/>
    <col min="3586" max="3586" width="9.85546875" style="14" customWidth="1"/>
    <col min="3587" max="3587" width="12.42578125" style="14" customWidth="1"/>
    <col min="3588" max="3588" width="2.7109375" style="14" customWidth="1"/>
    <col min="3589" max="3589" width="8.85546875" style="14" customWidth="1"/>
    <col min="3590" max="3590" width="11.42578125" style="14" customWidth="1"/>
    <col min="3591" max="3591" width="2.7109375" style="14" customWidth="1"/>
    <col min="3592" max="3592" width="9.140625" style="14" bestFit="1" customWidth="1"/>
    <col min="3593" max="3593" width="14" style="14" customWidth="1"/>
    <col min="3594" max="3594" width="13.42578125" style="14" customWidth="1"/>
    <col min="3595" max="3840" width="9.140625" style="14"/>
    <col min="3841" max="3841" width="10.28515625" style="14" customWidth="1"/>
    <col min="3842" max="3842" width="9.85546875" style="14" customWidth="1"/>
    <col min="3843" max="3843" width="12.42578125" style="14" customWidth="1"/>
    <col min="3844" max="3844" width="2.7109375" style="14" customWidth="1"/>
    <col min="3845" max="3845" width="8.85546875" style="14" customWidth="1"/>
    <col min="3846" max="3846" width="11.42578125" style="14" customWidth="1"/>
    <col min="3847" max="3847" width="2.7109375" style="14" customWidth="1"/>
    <col min="3848" max="3848" width="9.140625" style="14" bestFit="1" customWidth="1"/>
    <col min="3849" max="3849" width="14" style="14" customWidth="1"/>
    <col min="3850" max="3850" width="13.42578125" style="14" customWidth="1"/>
    <col min="3851" max="4096" width="9.140625" style="14"/>
    <col min="4097" max="4097" width="10.28515625" style="14" customWidth="1"/>
    <col min="4098" max="4098" width="9.85546875" style="14" customWidth="1"/>
    <col min="4099" max="4099" width="12.42578125" style="14" customWidth="1"/>
    <col min="4100" max="4100" width="2.7109375" style="14" customWidth="1"/>
    <col min="4101" max="4101" width="8.85546875" style="14" customWidth="1"/>
    <col min="4102" max="4102" width="11.42578125" style="14" customWidth="1"/>
    <col min="4103" max="4103" width="2.7109375" style="14" customWidth="1"/>
    <col min="4104" max="4104" width="9.140625" style="14" bestFit="1" customWidth="1"/>
    <col min="4105" max="4105" width="14" style="14" customWidth="1"/>
    <col min="4106" max="4106" width="13.42578125" style="14" customWidth="1"/>
    <col min="4107" max="4352" width="9.140625" style="14"/>
    <col min="4353" max="4353" width="10.28515625" style="14" customWidth="1"/>
    <col min="4354" max="4354" width="9.85546875" style="14" customWidth="1"/>
    <col min="4355" max="4355" width="12.42578125" style="14" customWidth="1"/>
    <col min="4356" max="4356" width="2.7109375" style="14" customWidth="1"/>
    <col min="4357" max="4357" width="8.85546875" style="14" customWidth="1"/>
    <col min="4358" max="4358" width="11.42578125" style="14" customWidth="1"/>
    <col min="4359" max="4359" width="2.7109375" style="14" customWidth="1"/>
    <col min="4360" max="4360" width="9.140625" style="14" bestFit="1" customWidth="1"/>
    <col min="4361" max="4361" width="14" style="14" customWidth="1"/>
    <col min="4362" max="4362" width="13.42578125" style="14" customWidth="1"/>
    <col min="4363" max="4608" width="9.140625" style="14"/>
    <col min="4609" max="4609" width="10.28515625" style="14" customWidth="1"/>
    <col min="4610" max="4610" width="9.85546875" style="14" customWidth="1"/>
    <col min="4611" max="4611" width="12.42578125" style="14" customWidth="1"/>
    <col min="4612" max="4612" width="2.7109375" style="14" customWidth="1"/>
    <col min="4613" max="4613" width="8.85546875" style="14" customWidth="1"/>
    <col min="4614" max="4614" width="11.42578125" style="14" customWidth="1"/>
    <col min="4615" max="4615" width="2.7109375" style="14" customWidth="1"/>
    <col min="4616" max="4616" width="9.140625" style="14" bestFit="1" customWidth="1"/>
    <col min="4617" max="4617" width="14" style="14" customWidth="1"/>
    <col min="4618" max="4618" width="13.42578125" style="14" customWidth="1"/>
    <col min="4619" max="4864" width="9.140625" style="14"/>
    <col min="4865" max="4865" width="10.28515625" style="14" customWidth="1"/>
    <col min="4866" max="4866" width="9.85546875" style="14" customWidth="1"/>
    <col min="4867" max="4867" width="12.42578125" style="14" customWidth="1"/>
    <col min="4868" max="4868" width="2.7109375" style="14" customWidth="1"/>
    <col min="4869" max="4869" width="8.85546875" style="14" customWidth="1"/>
    <col min="4870" max="4870" width="11.42578125" style="14" customWidth="1"/>
    <col min="4871" max="4871" width="2.7109375" style="14" customWidth="1"/>
    <col min="4872" max="4872" width="9.140625" style="14" bestFit="1" customWidth="1"/>
    <col min="4873" max="4873" width="14" style="14" customWidth="1"/>
    <col min="4874" max="4874" width="13.42578125" style="14" customWidth="1"/>
    <col min="4875" max="5120" width="9.140625" style="14"/>
    <col min="5121" max="5121" width="10.28515625" style="14" customWidth="1"/>
    <col min="5122" max="5122" width="9.85546875" style="14" customWidth="1"/>
    <col min="5123" max="5123" width="12.42578125" style="14" customWidth="1"/>
    <col min="5124" max="5124" width="2.7109375" style="14" customWidth="1"/>
    <col min="5125" max="5125" width="8.85546875" style="14" customWidth="1"/>
    <col min="5126" max="5126" width="11.42578125" style="14" customWidth="1"/>
    <col min="5127" max="5127" width="2.7109375" style="14" customWidth="1"/>
    <col min="5128" max="5128" width="9.140625" style="14" bestFit="1" customWidth="1"/>
    <col min="5129" max="5129" width="14" style="14" customWidth="1"/>
    <col min="5130" max="5130" width="13.42578125" style="14" customWidth="1"/>
    <col min="5131" max="5376" width="9.140625" style="14"/>
    <col min="5377" max="5377" width="10.28515625" style="14" customWidth="1"/>
    <col min="5378" max="5378" width="9.85546875" style="14" customWidth="1"/>
    <col min="5379" max="5379" width="12.42578125" style="14" customWidth="1"/>
    <col min="5380" max="5380" width="2.7109375" style="14" customWidth="1"/>
    <col min="5381" max="5381" width="8.85546875" style="14" customWidth="1"/>
    <col min="5382" max="5382" width="11.42578125" style="14" customWidth="1"/>
    <col min="5383" max="5383" width="2.7109375" style="14" customWidth="1"/>
    <col min="5384" max="5384" width="9.140625" style="14" bestFit="1" customWidth="1"/>
    <col min="5385" max="5385" width="14" style="14" customWidth="1"/>
    <col min="5386" max="5386" width="13.42578125" style="14" customWidth="1"/>
    <col min="5387" max="5632" width="9.140625" style="14"/>
    <col min="5633" max="5633" width="10.28515625" style="14" customWidth="1"/>
    <col min="5634" max="5634" width="9.85546875" style="14" customWidth="1"/>
    <col min="5635" max="5635" width="12.42578125" style="14" customWidth="1"/>
    <col min="5636" max="5636" width="2.7109375" style="14" customWidth="1"/>
    <col min="5637" max="5637" width="8.85546875" style="14" customWidth="1"/>
    <col min="5638" max="5638" width="11.42578125" style="14" customWidth="1"/>
    <col min="5639" max="5639" width="2.7109375" style="14" customWidth="1"/>
    <col min="5640" max="5640" width="9.140625" style="14" bestFit="1" customWidth="1"/>
    <col min="5641" max="5641" width="14" style="14" customWidth="1"/>
    <col min="5642" max="5642" width="13.42578125" style="14" customWidth="1"/>
    <col min="5643" max="5888" width="9.140625" style="14"/>
    <col min="5889" max="5889" width="10.28515625" style="14" customWidth="1"/>
    <col min="5890" max="5890" width="9.85546875" style="14" customWidth="1"/>
    <col min="5891" max="5891" width="12.42578125" style="14" customWidth="1"/>
    <col min="5892" max="5892" width="2.7109375" style="14" customWidth="1"/>
    <col min="5893" max="5893" width="8.85546875" style="14" customWidth="1"/>
    <col min="5894" max="5894" width="11.42578125" style="14" customWidth="1"/>
    <col min="5895" max="5895" width="2.7109375" style="14" customWidth="1"/>
    <col min="5896" max="5896" width="9.140625" style="14" bestFit="1" customWidth="1"/>
    <col min="5897" max="5897" width="14" style="14" customWidth="1"/>
    <col min="5898" max="5898" width="13.42578125" style="14" customWidth="1"/>
    <col min="5899" max="6144" width="9.140625" style="14"/>
    <col min="6145" max="6145" width="10.28515625" style="14" customWidth="1"/>
    <col min="6146" max="6146" width="9.85546875" style="14" customWidth="1"/>
    <col min="6147" max="6147" width="12.42578125" style="14" customWidth="1"/>
    <col min="6148" max="6148" width="2.7109375" style="14" customWidth="1"/>
    <col min="6149" max="6149" width="8.85546875" style="14" customWidth="1"/>
    <col min="6150" max="6150" width="11.42578125" style="14" customWidth="1"/>
    <col min="6151" max="6151" width="2.7109375" style="14" customWidth="1"/>
    <col min="6152" max="6152" width="9.140625" style="14" bestFit="1" customWidth="1"/>
    <col min="6153" max="6153" width="14" style="14" customWidth="1"/>
    <col min="6154" max="6154" width="13.42578125" style="14" customWidth="1"/>
    <col min="6155" max="6400" width="9.140625" style="14"/>
    <col min="6401" max="6401" width="10.28515625" style="14" customWidth="1"/>
    <col min="6402" max="6402" width="9.85546875" style="14" customWidth="1"/>
    <col min="6403" max="6403" width="12.42578125" style="14" customWidth="1"/>
    <col min="6404" max="6404" width="2.7109375" style="14" customWidth="1"/>
    <col min="6405" max="6405" width="8.85546875" style="14" customWidth="1"/>
    <col min="6406" max="6406" width="11.42578125" style="14" customWidth="1"/>
    <col min="6407" max="6407" width="2.7109375" style="14" customWidth="1"/>
    <col min="6408" max="6408" width="9.140625" style="14" bestFit="1" customWidth="1"/>
    <col min="6409" max="6409" width="14" style="14" customWidth="1"/>
    <col min="6410" max="6410" width="13.42578125" style="14" customWidth="1"/>
    <col min="6411" max="6656" width="9.140625" style="14"/>
    <col min="6657" max="6657" width="10.28515625" style="14" customWidth="1"/>
    <col min="6658" max="6658" width="9.85546875" style="14" customWidth="1"/>
    <col min="6659" max="6659" width="12.42578125" style="14" customWidth="1"/>
    <col min="6660" max="6660" width="2.7109375" style="14" customWidth="1"/>
    <col min="6661" max="6661" width="8.85546875" style="14" customWidth="1"/>
    <col min="6662" max="6662" width="11.42578125" style="14" customWidth="1"/>
    <col min="6663" max="6663" width="2.7109375" style="14" customWidth="1"/>
    <col min="6664" max="6664" width="9.140625" style="14" bestFit="1" customWidth="1"/>
    <col min="6665" max="6665" width="14" style="14" customWidth="1"/>
    <col min="6666" max="6666" width="13.42578125" style="14" customWidth="1"/>
    <col min="6667" max="6912" width="9.140625" style="14"/>
    <col min="6913" max="6913" width="10.28515625" style="14" customWidth="1"/>
    <col min="6914" max="6914" width="9.85546875" style="14" customWidth="1"/>
    <col min="6915" max="6915" width="12.42578125" style="14" customWidth="1"/>
    <col min="6916" max="6916" width="2.7109375" style="14" customWidth="1"/>
    <col min="6917" max="6917" width="8.85546875" style="14" customWidth="1"/>
    <col min="6918" max="6918" width="11.42578125" style="14" customWidth="1"/>
    <col min="6919" max="6919" width="2.7109375" style="14" customWidth="1"/>
    <col min="6920" max="6920" width="9.140625" style="14" bestFit="1" customWidth="1"/>
    <col min="6921" max="6921" width="14" style="14" customWidth="1"/>
    <col min="6922" max="6922" width="13.42578125" style="14" customWidth="1"/>
    <col min="6923" max="7168" width="9.140625" style="14"/>
    <col min="7169" max="7169" width="10.28515625" style="14" customWidth="1"/>
    <col min="7170" max="7170" width="9.85546875" style="14" customWidth="1"/>
    <col min="7171" max="7171" width="12.42578125" style="14" customWidth="1"/>
    <col min="7172" max="7172" width="2.7109375" style="14" customWidth="1"/>
    <col min="7173" max="7173" width="8.85546875" style="14" customWidth="1"/>
    <col min="7174" max="7174" width="11.42578125" style="14" customWidth="1"/>
    <col min="7175" max="7175" width="2.7109375" style="14" customWidth="1"/>
    <col min="7176" max="7176" width="9.140625" style="14" bestFit="1" customWidth="1"/>
    <col min="7177" max="7177" width="14" style="14" customWidth="1"/>
    <col min="7178" max="7178" width="13.42578125" style="14" customWidth="1"/>
    <col min="7179" max="7424" width="9.140625" style="14"/>
    <col min="7425" max="7425" width="10.28515625" style="14" customWidth="1"/>
    <col min="7426" max="7426" width="9.85546875" style="14" customWidth="1"/>
    <col min="7427" max="7427" width="12.42578125" style="14" customWidth="1"/>
    <col min="7428" max="7428" width="2.7109375" style="14" customWidth="1"/>
    <col min="7429" max="7429" width="8.85546875" style="14" customWidth="1"/>
    <col min="7430" max="7430" width="11.42578125" style="14" customWidth="1"/>
    <col min="7431" max="7431" width="2.7109375" style="14" customWidth="1"/>
    <col min="7432" max="7432" width="9.140625" style="14" bestFit="1" customWidth="1"/>
    <col min="7433" max="7433" width="14" style="14" customWidth="1"/>
    <col min="7434" max="7434" width="13.42578125" style="14" customWidth="1"/>
    <col min="7435" max="7680" width="9.140625" style="14"/>
    <col min="7681" max="7681" width="10.28515625" style="14" customWidth="1"/>
    <col min="7682" max="7682" width="9.85546875" style="14" customWidth="1"/>
    <col min="7683" max="7683" width="12.42578125" style="14" customWidth="1"/>
    <col min="7684" max="7684" width="2.7109375" style="14" customWidth="1"/>
    <col min="7685" max="7685" width="8.85546875" style="14" customWidth="1"/>
    <col min="7686" max="7686" width="11.42578125" style="14" customWidth="1"/>
    <col min="7687" max="7687" width="2.7109375" style="14" customWidth="1"/>
    <col min="7688" max="7688" width="9.140625" style="14" bestFit="1" customWidth="1"/>
    <col min="7689" max="7689" width="14" style="14" customWidth="1"/>
    <col min="7690" max="7690" width="13.42578125" style="14" customWidth="1"/>
    <col min="7691" max="7936" width="9.140625" style="14"/>
    <col min="7937" max="7937" width="10.28515625" style="14" customWidth="1"/>
    <col min="7938" max="7938" width="9.85546875" style="14" customWidth="1"/>
    <col min="7939" max="7939" width="12.42578125" style="14" customWidth="1"/>
    <col min="7940" max="7940" width="2.7109375" style="14" customWidth="1"/>
    <col min="7941" max="7941" width="8.85546875" style="14" customWidth="1"/>
    <col min="7942" max="7942" width="11.42578125" style="14" customWidth="1"/>
    <col min="7943" max="7943" width="2.7109375" style="14" customWidth="1"/>
    <col min="7944" max="7944" width="9.140625" style="14" bestFit="1" customWidth="1"/>
    <col min="7945" max="7945" width="14" style="14" customWidth="1"/>
    <col min="7946" max="7946" width="13.42578125" style="14" customWidth="1"/>
    <col min="7947" max="8192" width="9.140625" style="14"/>
    <col min="8193" max="8193" width="10.28515625" style="14" customWidth="1"/>
    <col min="8194" max="8194" width="9.85546875" style="14" customWidth="1"/>
    <col min="8195" max="8195" width="12.42578125" style="14" customWidth="1"/>
    <col min="8196" max="8196" width="2.7109375" style="14" customWidth="1"/>
    <col min="8197" max="8197" width="8.85546875" style="14" customWidth="1"/>
    <col min="8198" max="8198" width="11.42578125" style="14" customWidth="1"/>
    <col min="8199" max="8199" width="2.7109375" style="14" customWidth="1"/>
    <col min="8200" max="8200" width="9.140625" style="14" bestFit="1" customWidth="1"/>
    <col min="8201" max="8201" width="14" style="14" customWidth="1"/>
    <col min="8202" max="8202" width="13.42578125" style="14" customWidth="1"/>
    <col min="8203" max="8448" width="9.140625" style="14"/>
    <col min="8449" max="8449" width="10.28515625" style="14" customWidth="1"/>
    <col min="8450" max="8450" width="9.85546875" style="14" customWidth="1"/>
    <col min="8451" max="8451" width="12.42578125" style="14" customWidth="1"/>
    <col min="8452" max="8452" width="2.7109375" style="14" customWidth="1"/>
    <col min="8453" max="8453" width="8.85546875" style="14" customWidth="1"/>
    <col min="8454" max="8454" width="11.42578125" style="14" customWidth="1"/>
    <col min="8455" max="8455" width="2.7109375" style="14" customWidth="1"/>
    <col min="8456" max="8456" width="9.140625" style="14" bestFit="1" customWidth="1"/>
    <col min="8457" max="8457" width="14" style="14" customWidth="1"/>
    <col min="8458" max="8458" width="13.42578125" style="14" customWidth="1"/>
    <col min="8459" max="8704" width="9.140625" style="14"/>
    <col min="8705" max="8705" width="10.28515625" style="14" customWidth="1"/>
    <col min="8706" max="8706" width="9.85546875" style="14" customWidth="1"/>
    <col min="8707" max="8707" width="12.42578125" style="14" customWidth="1"/>
    <col min="8708" max="8708" width="2.7109375" style="14" customWidth="1"/>
    <col min="8709" max="8709" width="8.85546875" style="14" customWidth="1"/>
    <col min="8710" max="8710" width="11.42578125" style="14" customWidth="1"/>
    <col min="8711" max="8711" width="2.7109375" style="14" customWidth="1"/>
    <col min="8712" max="8712" width="9.140625" style="14" bestFit="1" customWidth="1"/>
    <col min="8713" max="8713" width="14" style="14" customWidth="1"/>
    <col min="8714" max="8714" width="13.42578125" style="14" customWidth="1"/>
    <col min="8715" max="8960" width="9.140625" style="14"/>
    <col min="8961" max="8961" width="10.28515625" style="14" customWidth="1"/>
    <col min="8962" max="8962" width="9.85546875" style="14" customWidth="1"/>
    <col min="8963" max="8963" width="12.42578125" style="14" customWidth="1"/>
    <col min="8964" max="8964" width="2.7109375" style="14" customWidth="1"/>
    <col min="8965" max="8965" width="8.85546875" style="14" customWidth="1"/>
    <col min="8966" max="8966" width="11.42578125" style="14" customWidth="1"/>
    <col min="8967" max="8967" width="2.7109375" style="14" customWidth="1"/>
    <col min="8968" max="8968" width="9.140625" style="14" bestFit="1" customWidth="1"/>
    <col min="8969" max="8969" width="14" style="14" customWidth="1"/>
    <col min="8970" max="8970" width="13.42578125" style="14" customWidth="1"/>
    <col min="8971" max="9216" width="9.140625" style="14"/>
    <col min="9217" max="9217" width="10.28515625" style="14" customWidth="1"/>
    <col min="9218" max="9218" width="9.85546875" style="14" customWidth="1"/>
    <col min="9219" max="9219" width="12.42578125" style="14" customWidth="1"/>
    <col min="9220" max="9220" width="2.7109375" style="14" customWidth="1"/>
    <col min="9221" max="9221" width="8.85546875" style="14" customWidth="1"/>
    <col min="9222" max="9222" width="11.42578125" style="14" customWidth="1"/>
    <col min="9223" max="9223" width="2.7109375" style="14" customWidth="1"/>
    <col min="9224" max="9224" width="9.140625" style="14" bestFit="1" customWidth="1"/>
    <col min="9225" max="9225" width="14" style="14" customWidth="1"/>
    <col min="9226" max="9226" width="13.42578125" style="14" customWidth="1"/>
    <col min="9227" max="9472" width="9.140625" style="14"/>
    <col min="9473" max="9473" width="10.28515625" style="14" customWidth="1"/>
    <col min="9474" max="9474" width="9.85546875" style="14" customWidth="1"/>
    <col min="9475" max="9475" width="12.42578125" style="14" customWidth="1"/>
    <col min="9476" max="9476" width="2.7109375" style="14" customWidth="1"/>
    <col min="9477" max="9477" width="8.85546875" style="14" customWidth="1"/>
    <col min="9478" max="9478" width="11.42578125" style="14" customWidth="1"/>
    <col min="9479" max="9479" width="2.7109375" style="14" customWidth="1"/>
    <col min="9480" max="9480" width="9.140625" style="14" bestFit="1" customWidth="1"/>
    <col min="9481" max="9481" width="14" style="14" customWidth="1"/>
    <col min="9482" max="9482" width="13.42578125" style="14" customWidth="1"/>
    <col min="9483" max="9728" width="9.140625" style="14"/>
    <col min="9729" max="9729" width="10.28515625" style="14" customWidth="1"/>
    <col min="9730" max="9730" width="9.85546875" style="14" customWidth="1"/>
    <col min="9731" max="9731" width="12.42578125" style="14" customWidth="1"/>
    <col min="9732" max="9732" width="2.7109375" style="14" customWidth="1"/>
    <col min="9733" max="9733" width="8.85546875" style="14" customWidth="1"/>
    <col min="9734" max="9734" width="11.42578125" style="14" customWidth="1"/>
    <col min="9735" max="9735" width="2.7109375" style="14" customWidth="1"/>
    <col min="9736" max="9736" width="9.140625" style="14" bestFit="1" customWidth="1"/>
    <col min="9737" max="9737" width="14" style="14" customWidth="1"/>
    <col min="9738" max="9738" width="13.42578125" style="14" customWidth="1"/>
    <col min="9739" max="9984" width="9.140625" style="14"/>
    <col min="9985" max="9985" width="10.28515625" style="14" customWidth="1"/>
    <col min="9986" max="9986" width="9.85546875" style="14" customWidth="1"/>
    <col min="9987" max="9987" width="12.42578125" style="14" customWidth="1"/>
    <col min="9988" max="9988" width="2.7109375" style="14" customWidth="1"/>
    <col min="9989" max="9989" width="8.85546875" style="14" customWidth="1"/>
    <col min="9990" max="9990" width="11.42578125" style="14" customWidth="1"/>
    <col min="9991" max="9991" width="2.7109375" style="14" customWidth="1"/>
    <col min="9992" max="9992" width="9.140625" style="14" bestFit="1" customWidth="1"/>
    <col min="9993" max="9993" width="14" style="14" customWidth="1"/>
    <col min="9994" max="9994" width="13.42578125" style="14" customWidth="1"/>
    <col min="9995" max="10240" width="9.140625" style="14"/>
    <col min="10241" max="10241" width="10.28515625" style="14" customWidth="1"/>
    <col min="10242" max="10242" width="9.85546875" style="14" customWidth="1"/>
    <col min="10243" max="10243" width="12.42578125" style="14" customWidth="1"/>
    <col min="10244" max="10244" width="2.7109375" style="14" customWidth="1"/>
    <col min="10245" max="10245" width="8.85546875" style="14" customWidth="1"/>
    <col min="10246" max="10246" width="11.42578125" style="14" customWidth="1"/>
    <col min="10247" max="10247" width="2.7109375" style="14" customWidth="1"/>
    <col min="10248" max="10248" width="9.140625" style="14" bestFit="1" customWidth="1"/>
    <col min="10249" max="10249" width="14" style="14" customWidth="1"/>
    <col min="10250" max="10250" width="13.42578125" style="14" customWidth="1"/>
    <col min="10251" max="10496" width="9.140625" style="14"/>
    <col min="10497" max="10497" width="10.28515625" style="14" customWidth="1"/>
    <col min="10498" max="10498" width="9.85546875" style="14" customWidth="1"/>
    <col min="10499" max="10499" width="12.42578125" style="14" customWidth="1"/>
    <col min="10500" max="10500" width="2.7109375" style="14" customWidth="1"/>
    <col min="10501" max="10501" width="8.85546875" style="14" customWidth="1"/>
    <col min="10502" max="10502" width="11.42578125" style="14" customWidth="1"/>
    <col min="10503" max="10503" width="2.7109375" style="14" customWidth="1"/>
    <col min="10504" max="10504" width="9.140625" style="14" bestFit="1" customWidth="1"/>
    <col min="10505" max="10505" width="14" style="14" customWidth="1"/>
    <col min="10506" max="10506" width="13.42578125" style="14" customWidth="1"/>
    <col min="10507" max="10752" width="9.140625" style="14"/>
    <col min="10753" max="10753" width="10.28515625" style="14" customWidth="1"/>
    <col min="10754" max="10754" width="9.85546875" style="14" customWidth="1"/>
    <col min="10755" max="10755" width="12.42578125" style="14" customWidth="1"/>
    <col min="10756" max="10756" width="2.7109375" style="14" customWidth="1"/>
    <col min="10757" max="10757" width="8.85546875" style="14" customWidth="1"/>
    <col min="10758" max="10758" width="11.42578125" style="14" customWidth="1"/>
    <col min="10759" max="10759" width="2.7109375" style="14" customWidth="1"/>
    <col min="10760" max="10760" width="9.140625" style="14" bestFit="1" customWidth="1"/>
    <col min="10761" max="10761" width="14" style="14" customWidth="1"/>
    <col min="10762" max="10762" width="13.42578125" style="14" customWidth="1"/>
    <col min="10763" max="11008" width="9.140625" style="14"/>
    <col min="11009" max="11009" width="10.28515625" style="14" customWidth="1"/>
    <col min="11010" max="11010" width="9.85546875" style="14" customWidth="1"/>
    <col min="11011" max="11011" width="12.42578125" style="14" customWidth="1"/>
    <col min="11012" max="11012" width="2.7109375" style="14" customWidth="1"/>
    <col min="11013" max="11013" width="8.85546875" style="14" customWidth="1"/>
    <col min="11014" max="11014" width="11.42578125" style="14" customWidth="1"/>
    <col min="11015" max="11015" width="2.7109375" style="14" customWidth="1"/>
    <col min="11016" max="11016" width="9.140625" style="14" bestFit="1" customWidth="1"/>
    <col min="11017" max="11017" width="14" style="14" customWidth="1"/>
    <col min="11018" max="11018" width="13.42578125" style="14" customWidth="1"/>
    <col min="11019" max="11264" width="9.140625" style="14"/>
    <col min="11265" max="11265" width="10.28515625" style="14" customWidth="1"/>
    <col min="11266" max="11266" width="9.85546875" style="14" customWidth="1"/>
    <col min="11267" max="11267" width="12.42578125" style="14" customWidth="1"/>
    <col min="11268" max="11268" width="2.7109375" style="14" customWidth="1"/>
    <col min="11269" max="11269" width="8.85546875" style="14" customWidth="1"/>
    <col min="11270" max="11270" width="11.42578125" style="14" customWidth="1"/>
    <col min="11271" max="11271" width="2.7109375" style="14" customWidth="1"/>
    <col min="11272" max="11272" width="9.140625" style="14" bestFit="1" customWidth="1"/>
    <col min="11273" max="11273" width="14" style="14" customWidth="1"/>
    <col min="11274" max="11274" width="13.42578125" style="14" customWidth="1"/>
    <col min="11275" max="11520" width="9.140625" style="14"/>
    <col min="11521" max="11521" width="10.28515625" style="14" customWidth="1"/>
    <col min="11522" max="11522" width="9.85546875" style="14" customWidth="1"/>
    <col min="11523" max="11523" width="12.42578125" style="14" customWidth="1"/>
    <col min="11524" max="11524" width="2.7109375" style="14" customWidth="1"/>
    <col min="11525" max="11525" width="8.85546875" style="14" customWidth="1"/>
    <col min="11526" max="11526" width="11.42578125" style="14" customWidth="1"/>
    <col min="11527" max="11527" width="2.7109375" style="14" customWidth="1"/>
    <col min="11528" max="11528" width="9.140625" style="14" bestFit="1" customWidth="1"/>
    <col min="11529" max="11529" width="14" style="14" customWidth="1"/>
    <col min="11530" max="11530" width="13.42578125" style="14" customWidth="1"/>
    <col min="11531" max="11776" width="9.140625" style="14"/>
    <col min="11777" max="11777" width="10.28515625" style="14" customWidth="1"/>
    <col min="11778" max="11778" width="9.85546875" style="14" customWidth="1"/>
    <col min="11779" max="11779" width="12.42578125" style="14" customWidth="1"/>
    <col min="11780" max="11780" width="2.7109375" style="14" customWidth="1"/>
    <col min="11781" max="11781" width="8.85546875" style="14" customWidth="1"/>
    <col min="11782" max="11782" width="11.42578125" style="14" customWidth="1"/>
    <col min="11783" max="11783" width="2.7109375" style="14" customWidth="1"/>
    <col min="11784" max="11784" width="9.140625" style="14" bestFit="1" customWidth="1"/>
    <col min="11785" max="11785" width="14" style="14" customWidth="1"/>
    <col min="11786" max="11786" width="13.42578125" style="14" customWidth="1"/>
    <col min="11787" max="12032" width="9.140625" style="14"/>
    <col min="12033" max="12033" width="10.28515625" style="14" customWidth="1"/>
    <col min="12034" max="12034" width="9.85546875" style="14" customWidth="1"/>
    <col min="12035" max="12035" width="12.42578125" style="14" customWidth="1"/>
    <col min="12036" max="12036" width="2.7109375" style="14" customWidth="1"/>
    <col min="12037" max="12037" width="8.85546875" style="14" customWidth="1"/>
    <col min="12038" max="12038" width="11.42578125" style="14" customWidth="1"/>
    <col min="12039" max="12039" width="2.7109375" style="14" customWidth="1"/>
    <col min="12040" max="12040" width="9.140625" style="14" bestFit="1" customWidth="1"/>
    <col min="12041" max="12041" width="14" style="14" customWidth="1"/>
    <col min="12042" max="12042" width="13.42578125" style="14" customWidth="1"/>
    <col min="12043" max="12288" width="9.140625" style="14"/>
    <col min="12289" max="12289" width="10.28515625" style="14" customWidth="1"/>
    <col min="12290" max="12290" width="9.85546875" style="14" customWidth="1"/>
    <col min="12291" max="12291" width="12.42578125" style="14" customWidth="1"/>
    <col min="12292" max="12292" width="2.7109375" style="14" customWidth="1"/>
    <col min="12293" max="12293" width="8.85546875" style="14" customWidth="1"/>
    <col min="12294" max="12294" width="11.42578125" style="14" customWidth="1"/>
    <col min="12295" max="12295" width="2.7109375" style="14" customWidth="1"/>
    <col min="12296" max="12296" width="9.140625" style="14" bestFit="1" customWidth="1"/>
    <col min="12297" max="12297" width="14" style="14" customWidth="1"/>
    <col min="12298" max="12298" width="13.42578125" style="14" customWidth="1"/>
    <col min="12299" max="12544" width="9.140625" style="14"/>
    <col min="12545" max="12545" width="10.28515625" style="14" customWidth="1"/>
    <col min="12546" max="12546" width="9.85546875" style="14" customWidth="1"/>
    <col min="12547" max="12547" width="12.42578125" style="14" customWidth="1"/>
    <col min="12548" max="12548" width="2.7109375" style="14" customWidth="1"/>
    <col min="12549" max="12549" width="8.85546875" style="14" customWidth="1"/>
    <col min="12550" max="12550" width="11.42578125" style="14" customWidth="1"/>
    <col min="12551" max="12551" width="2.7109375" style="14" customWidth="1"/>
    <col min="12552" max="12552" width="9.140625" style="14" bestFit="1" customWidth="1"/>
    <col min="12553" max="12553" width="14" style="14" customWidth="1"/>
    <col min="12554" max="12554" width="13.42578125" style="14" customWidth="1"/>
    <col min="12555" max="12800" width="9.140625" style="14"/>
    <col min="12801" max="12801" width="10.28515625" style="14" customWidth="1"/>
    <col min="12802" max="12802" width="9.85546875" style="14" customWidth="1"/>
    <col min="12803" max="12803" width="12.42578125" style="14" customWidth="1"/>
    <col min="12804" max="12804" width="2.7109375" style="14" customWidth="1"/>
    <col min="12805" max="12805" width="8.85546875" style="14" customWidth="1"/>
    <col min="12806" max="12806" width="11.42578125" style="14" customWidth="1"/>
    <col min="12807" max="12807" width="2.7109375" style="14" customWidth="1"/>
    <col min="12808" max="12808" width="9.140625" style="14" bestFit="1" customWidth="1"/>
    <col min="12809" max="12809" width="14" style="14" customWidth="1"/>
    <col min="12810" max="12810" width="13.42578125" style="14" customWidth="1"/>
    <col min="12811" max="13056" width="9.140625" style="14"/>
    <col min="13057" max="13057" width="10.28515625" style="14" customWidth="1"/>
    <col min="13058" max="13058" width="9.85546875" style="14" customWidth="1"/>
    <col min="13059" max="13059" width="12.42578125" style="14" customWidth="1"/>
    <col min="13060" max="13060" width="2.7109375" style="14" customWidth="1"/>
    <col min="13061" max="13061" width="8.85546875" style="14" customWidth="1"/>
    <col min="13062" max="13062" width="11.42578125" style="14" customWidth="1"/>
    <col min="13063" max="13063" width="2.7109375" style="14" customWidth="1"/>
    <col min="13064" max="13064" width="9.140625" style="14" bestFit="1" customWidth="1"/>
    <col min="13065" max="13065" width="14" style="14" customWidth="1"/>
    <col min="13066" max="13066" width="13.42578125" style="14" customWidth="1"/>
    <col min="13067" max="13312" width="9.140625" style="14"/>
    <col min="13313" max="13313" width="10.28515625" style="14" customWidth="1"/>
    <col min="13314" max="13314" width="9.85546875" style="14" customWidth="1"/>
    <col min="13315" max="13315" width="12.42578125" style="14" customWidth="1"/>
    <col min="13316" max="13316" width="2.7109375" style="14" customWidth="1"/>
    <col min="13317" max="13317" width="8.85546875" style="14" customWidth="1"/>
    <col min="13318" max="13318" width="11.42578125" style="14" customWidth="1"/>
    <col min="13319" max="13319" width="2.7109375" style="14" customWidth="1"/>
    <col min="13320" max="13320" width="9.140625" style="14" bestFit="1" customWidth="1"/>
    <col min="13321" max="13321" width="14" style="14" customWidth="1"/>
    <col min="13322" max="13322" width="13.42578125" style="14" customWidth="1"/>
    <col min="13323" max="13568" width="9.140625" style="14"/>
    <col min="13569" max="13569" width="10.28515625" style="14" customWidth="1"/>
    <col min="13570" max="13570" width="9.85546875" style="14" customWidth="1"/>
    <col min="13571" max="13571" width="12.42578125" style="14" customWidth="1"/>
    <col min="13572" max="13572" width="2.7109375" style="14" customWidth="1"/>
    <col min="13573" max="13573" width="8.85546875" style="14" customWidth="1"/>
    <col min="13574" max="13574" width="11.42578125" style="14" customWidth="1"/>
    <col min="13575" max="13575" width="2.7109375" style="14" customWidth="1"/>
    <col min="13576" max="13576" width="9.140625" style="14" bestFit="1" customWidth="1"/>
    <col min="13577" max="13577" width="14" style="14" customWidth="1"/>
    <col min="13578" max="13578" width="13.42578125" style="14" customWidth="1"/>
    <col min="13579" max="13824" width="9.140625" style="14"/>
    <col min="13825" max="13825" width="10.28515625" style="14" customWidth="1"/>
    <col min="13826" max="13826" width="9.85546875" style="14" customWidth="1"/>
    <col min="13827" max="13827" width="12.42578125" style="14" customWidth="1"/>
    <col min="13828" max="13828" width="2.7109375" style="14" customWidth="1"/>
    <col min="13829" max="13829" width="8.85546875" style="14" customWidth="1"/>
    <col min="13830" max="13830" width="11.42578125" style="14" customWidth="1"/>
    <col min="13831" max="13831" width="2.7109375" style="14" customWidth="1"/>
    <col min="13832" max="13832" width="9.140625" style="14" bestFit="1" customWidth="1"/>
    <col min="13833" max="13833" width="14" style="14" customWidth="1"/>
    <col min="13834" max="13834" width="13.42578125" style="14" customWidth="1"/>
    <col min="13835" max="14080" width="9.140625" style="14"/>
    <col min="14081" max="14081" width="10.28515625" style="14" customWidth="1"/>
    <col min="14082" max="14082" width="9.85546875" style="14" customWidth="1"/>
    <col min="14083" max="14083" width="12.42578125" style="14" customWidth="1"/>
    <col min="14084" max="14084" width="2.7109375" style="14" customWidth="1"/>
    <col min="14085" max="14085" width="8.85546875" style="14" customWidth="1"/>
    <col min="14086" max="14086" width="11.42578125" style="14" customWidth="1"/>
    <col min="14087" max="14087" width="2.7109375" style="14" customWidth="1"/>
    <col min="14088" max="14088" width="9.140625" style="14" bestFit="1" customWidth="1"/>
    <col min="14089" max="14089" width="14" style="14" customWidth="1"/>
    <col min="14090" max="14090" width="13.42578125" style="14" customWidth="1"/>
    <col min="14091" max="14336" width="9.140625" style="14"/>
    <col min="14337" max="14337" width="10.28515625" style="14" customWidth="1"/>
    <col min="14338" max="14338" width="9.85546875" style="14" customWidth="1"/>
    <col min="14339" max="14339" width="12.42578125" style="14" customWidth="1"/>
    <col min="14340" max="14340" width="2.7109375" style="14" customWidth="1"/>
    <col min="14341" max="14341" width="8.85546875" style="14" customWidth="1"/>
    <col min="14342" max="14342" width="11.42578125" style="14" customWidth="1"/>
    <col min="14343" max="14343" width="2.7109375" style="14" customWidth="1"/>
    <col min="14344" max="14344" width="9.140625" style="14" bestFit="1" customWidth="1"/>
    <col min="14345" max="14345" width="14" style="14" customWidth="1"/>
    <col min="14346" max="14346" width="13.42578125" style="14" customWidth="1"/>
    <col min="14347" max="14592" width="9.140625" style="14"/>
    <col min="14593" max="14593" width="10.28515625" style="14" customWidth="1"/>
    <col min="14594" max="14594" width="9.85546875" style="14" customWidth="1"/>
    <col min="14595" max="14595" width="12.42578125" style="14" customWidth="1"/>
    <col min="14596" max="14596" width="2.7109375" style="14" customWidth="1"/>
    <col min="14597" max="14597" width="8.85546875" style="14" customWidth="1"/>
    <col min="14598" max="14598" width="11.42578125" style="14" customWidth="1"/>
    <col min="14599" max="14599" width="2.7109375" style="14" customWidth="1"/>
    <col min="14600" max="14600" width="9.140625" style="14" bestFit="1" customWidth="1"/>
    <col min="14601" max="14601" width="14" style="14" customWidth="1"/>
    <col min="14602" max="14602" width="13.42578125" style="14" customWidth="1"/>
    <col min="14603" max="14848" width="9.140625" style="14"/>
    <col min="14849" max="14849" width="10.28515625" style="14" customWidth="1"/>
    <col min="14850" max="14850" width="9.85546875" style="14" customWidth="1"/>
    <col min="14851" max="14851" width="12.42578125" style="14" customWidth="1"/>
    <col min="14852" max="14852" width="2.7109375" style="14" customWidth="1"/>
    <col min="14853" max="14853" width="8.85546875" style="14" customWidth="1"/>
    <col min="14854" max="14854" width="11.42578125" style="14" customWidth="1"/>
    <col min="14855" max="14855" width="2.7109375" style="14" customWidth="1"/>
    <col min="14856" max="14856" width="9.140625" style="14" bestFit="1" customWidth="1"/>
    <col min="14857" max="14857" width="14" style="14" customWidth="1"/>
    <col min="14858" max="14858" width="13.42578125" style="14" customWidth="1"/>
    <col min="14859" max="15104" width="9.140625" style="14"/>
    <col min="15105" max="15105" width="10.28515625" style="14" customWidth="1"/>
    <col min="15106" max="15106" width="9.85546875" style="14" customWidth="1"/>
    <col min="15107" max="15107" width="12.42578125" style="14" customWidth="1"/>
    <col min="15108" max="15108" width="2.7109375" style="14" customWidth="1"/>
    <col min="15109" max="15109" width="8.85546875" style="14" customWidth="1"/>
    <col min="15110" max="15110" width="11.42578125" style="14" customWidth="1"/>
    <col min="15111" max="15111" width="2.7109375" style="14" customWidth="1"/>
    <col min="15112" max="15112" width="9.140625" style="14" bestFit="1" customWidth="1"/>
    <col min="15113" max="15113" width="14" style="14" customWidth="1"/>
    <col min="15114" max="15114" width="13.42578125" style="14" customWidth="1"/>
    <col min="15115" max="15360" width="9.140625" style="14"/>
    <col min="15361" max="15361" width="10.28515625" style="14" customWidth="1"/>
    <col min="15362" max="15362" width="9.85546875" style="14" customWidth="1"/>
    <col min="15363" max="15363" width="12.42578125" style="14" customWidth="1"/>
    <col min="15364" max="15364" width="2.7109375" style="14" customWidth="1"/>
    <col min="15365" max="15365" width="8.85546875" style="14" customWidth="1"/>
    <col min="15366" max="15366" width="11.42578125" style="14" customWidth="1"/>
    <col min="15367" max="15367" width="2.7109375" style="14" customWidth="1"/>
    <col min="15368" max="15368" width="9.140625" style="14" bestFit="1" customWidth="1"/>
    <col min="15369" max="15369" width="14" style="14" customWidth="1"/>
    <col min="15370" max="15370" width="13.42578125" style="14" customWidth="1"/>
    <col min="15371" max="15616" width="9.140625" style="14"/>
    <col min="15617" max="15617" width="10.28515625" style="14" customWidth="1"/>
    <col min="15618" max="15618" width="9.85546875" style="14" customWidth="1"/>
    <col min="15619" max="15619" width="12.42578125" style="14" customWidth="1"/>
    <col min="15620" max="15620" width="2.7109375" style="14" customWidth="1"/>
    <col min="15621" max="15621" width="8.85546875" style="14" customWidth="1"/>
    <col min="15622" max="15622" width="11.42578125" style="14" customWidth="1"/>
    <col min="15623" max="15623" width="2.7109375" style="14" customWidth="1"/>
    <col min="15624" max="15624" width="9.140625" style="14" bestFit="1" customWidth="1"/>
    <col min="15625" max="15625" width="14" style="14" customWidth="1"/>
    <col min="15626" max="15626" width="13.42578125" style="14" customWidth="1"/>
    <col min="15627" max="15872" width="9.140625" style="14"/>
    <col min="15873" max="15873" width="10.28515625" style="14" customWidth="1"/>
    <col min="15874" max="15874" width="9.85546875" style="14" customWidth="1"/>
    <col min="15875" max="15875" width="12.42578125" style="14" customWidth="1"/>
    <col min="15876" max="15876" width="2.7109375" style="14" customWidth="1"/>
    <col min="15877" max="15877" width="8.85546875" style="14" customWidth="1"/>
    <col min="15878" max="15878" width="11.42578125" style="14" customWidth="1"/>
    <col min="15879" max="15879" width="2.7109375" style="14" customWidth="1"/>
    <col min="15880" max="15880" width="9.140625" style="14" bestFit="1" customWidth="1"/>
    <col min="15881" max="15881" width="14" style="14" customWidth="1"/>
    <col min="15882" max="15882" width="13.42578125" style="14" customWidth="1"/>
    <col min="15883" max="16128" width="9.140625" style="14"/>
    <col min="16129" max="16129" width="10.28515625" style="14" customWidth="1"/>
    <col min="16130" max="16130" width="9.85546875" style="14" customWidth="1"/>
    <col min="16131" max="16131" width="12.42578125" style="14" customWidth="1"/>
    <col min="16132" max="16132" width="2.7109375" style="14" customWidth="1"/>
    <col min="16133" max="16133" width="8.85546875" style="14" customWidth="1"/>
    <col min="16134" max="16134" width="11.42578125" style="14" customWidth="1"/>
    <col min="16135" max="16135" width="2.7109375" style="14" customWidth="1"/>
    <col min="16136" max="16136" width="9.140625" style="14" bestFit="1" customWidth="1"/>
    <col min="16137" max="16137" width="14" style="14" customWidth="1"/>
    <col min="16138" max="16138" width="13.42578125" style="14" customWidth="1"/>
    <col min="16139" max="16384" width="9.140625" style="14"/>
  </cols>
  <sheetData>
    <row r="1" spans="1:10" s="6" customFormat="1" ht="63.75">
      <c r="A1" s="3" t="s">
        <v>0</v>
      </c>
      <c r="B1" s="4" t="s">
        <v>1</v>
      </c>
      <c r="C1" s="5" t="s">
        <v>2</v>
      </c>
      <c r="E1" s="3" t="s">
        <v>3</v>
      </c>
      <c r="F1" s="7" t="s">
        <v>4</v>
      </c>
      <c r="H1" s="5" t="s">
        <v>5</v>
      </c>
      <c r="I1" s="5" t="s">
        <v>6</v>
      </c>
      <c r="J1" s="8" t="s">
        <v>7</v>
      </c>
    </row>
    <row r="2" spans="1:10" ht="12.75">
      <c r="A2" s="9">
        <f>+B2</f>
        <v>17917</v>
      </c>
      <c r="B2" s="10">
        <v>17917</v>
      </c>
      <c r="C2" s="11">
        <v>0.02</v>
      </c>
      <c r="D2" s="12"/>
      <c r="E2" s="13" t="s">
        <v>8</v>
      </c>
      <c r="F2" s="13"/>
      <c r="J2" s="15"/>
    </row>
    <row r="3" spans="1:10" ht="12.75">
      <c r="A3" s="9">
        <f t="shared" ref="A3:A66" si="0">+B3</f>
        <v>17948</v>
      </c>
      <c r="B3" s="10">
        <v>17948</v>
      </c>
      <c r="C3" s="11">
        <v>0.02</v>
      </c>
      <c r="E3" s="13" t="s">
        <v>8</v>
      </c>
      <c r="F3" s="13"/>
      <c r="J3" s="15"/>
    </row>
    <row r="4" spans="1:10" ht="12.75">
      <c r="A4" s="9">
        <f t="shared" si="0"/>
        <v>17976</v>
      </c>
      <c r="B4" s="10">
        <v>17976</v>
      </c>
      <c r="C4" s="11">
        <v>0.02</v>
      </c>
      <c r="E4" s="13" t="s">
        <v>8</v>
      </c>
      <c r="F4" s="13"/>
      <c r="J4" s="15"/>
    </row>
    <row r="5" spans="1:10" ht="12.75">
      <c r="A5" s="9">
        <f t="shared" si="0"/>
        <v>18007</v>
      </c>
      <c r="B5" s="10">
        <v>18007</v>
      </c>
      <c r="C5" s="11">
        <v>0.02</v>
      </c>
      <c r="E5" s="13" t="s">
        <v>8</v>
      </c>
      <c r="F5" s="13"/>
      <c r="J5" s="15"/>
    </row>
    <row r="6" spans="1:10" ht="12.75">
      <c r="A6" s="9">
        <f t="shared" si="0"/>
        <v>18037</v>
      </c>
      <c r="B6" s="10">
        <v>18037</v>
      </c>
      <c r="C6" s="11">
        <v>0.02</v>
      </c>
      <c r="E6" s="13" t="s">
        <v>8</v>
      </c>
      <c r="F6" s="13"/>
      <c r="J6" s="15"/>
    </row>
    <row r="7" spans="1:10" ht="12.75">
      <c r="A7" s="9">
        <f t="shared" si="0"/>
        <v>18068</v>
      </c>
      <c r="B7" s="10">
        <v>18068</v>
      </c>
      <c r="C7" s="11">
        <v>0.02</v>
      </c>
      <c r="E7" s="13" t="s">
        <v>8</v>
      </c>
      <c r="F7" s="13"/>
      <c r="J7" s="15"/>
    </row>
    <row r="8" spans="1:10" ht="12.75">
      <c r="A8" s="9">
        <f t="shared" si="0"/>
        <v>18098</v>
      </c>
      <c r="B8" s="10">
        <v>18098</v>
      </c>
      <c r="C8" s="11">
        <v>0.02</v>
      </c>
      <c r="E8" s="13" t="s">
        <v>8</v>
      </c>
      <c r="F8" s="13"/>
      <c r="J8" s="15"/>
    </row>
    <row r="9" spans="1:10" ht="12.75">
      <c r="A9" s="9">
        <f t="shared" si="0"/>
        <v>18129</v>
      </c>
      <c r="B9" s="10">
        <v>18129</v>
      </c>
      <c r="C9" s="11">
        <v>0.02</v>
      </c>
      <c r="E9" s="13" t="s">
        <v>8</v>
      </c>
      <c r="F9" s="13"/>
      <c r="J9" s="15"/>
    </row>
    <row r="10" spans="1:10" ht="12.75">
      <c r="A10" s="9">
        <f t="shared" si="0"/>
        <v>18160</v>
      </c>
      <c r="B10" s="10">
        <v>18160</v>
      </c>
      <c r="C10" s="11">
        <v>0.02</v>
      </c>
      <c r="E10" s="13" t="s">
        <v>8</v>
      </c>
      <c r="F10" s="13"/>
      <c r="J10" s="15"/>
    </row>
    <row r="11" spans="1:10" ht="12.75">
      <c r="A11" s="9">
        <f t="shared" si="0"/>
        <v>18190</v>
      </c>
      <c r="B11" s="10">
        <v>18190</v>
      </c>
      <c r="C11" s="11">
        <v>0.02</v>
      </c>
      <c r="E11" s="13" t="s">
        <v>8</v>
      </c>
      <c r="F11" s="13"/>
      <c r="J11" s="15"/>
    </row>
    <row r="12" spans="1:10" ht="12.75">
      <c r="A12" s="9">
        <f t="shared" si="0"/>
        <v>18221</v>
      </c>
      <c r="B12" s="10">
        <v>18221</v>
      </c>
      <c r="C12" s="11">
        <v>0.02</v>
      </c>
      <c r="E12" s="13" t="s">
        <v>8</v>
      </c>
      <c r="F12" s="13"/>
      <c r="J12" s="15"/>
    </row>
    <row r="13" spans="1:10" ht="12.75">
      <c r="A13" s="9">
        <f t="shared" si="0"/>
        <v>18251</v>
      </c>
      <c r="B13" s="10">
        <v>18251</v>
      </c>
      <c r="C13" s="11">
        <v>0.02</v>
      </c>
      <c r="E13" s="13" t="s">
        <v>8</v>
      </c>
      <c r="F13" s="13"/>
      <c r="J13" s="15"/>
    </row>
    <row r="14" spans="1:10" ht="12.75">
      <c r="A14" s="9">
        <f t="shared" si="0"/>
        <v>18282</v>
      </c>
      <c r="B14" s="10">
        <v>18282</v>
      </c>
      <c r="C14" s="11">
        <v>0.02</v>
      </c>
      <c r="E14" s="13" t="s">
        <v>8</v>
      </c>
      <c r="F14" s="13"/>
      <c r="J14" s="15"/>
    </row>
    <row r="15" spans="1:10" ht="12.75">
      <c r="A15" s="9">
        <f t="shared" si="0"/>
        <v>18313</v>
      </c>
      <c r="B15" s="10">
        <v>18313</v>
      </c>
      <c r="C15" s="11">
        <v>0.02</v>
      </c>
      <c r="E15" s="13" t="s">
        <v>8</v>
      </c>
      <c r="F15" s="13"/>
      <c r="J15" s="15"/>
    </row>
    <row r="16" spans="1:10" ht="12.75">
      <c r="A16" s="9">
        <f t="shared" si="0"/>
        <v>18341</v>
      </c>
      <c r="B16" s="10">
        <v>18341</v>
      </c>
      <c r="C16" s="11">
        <v>0.02</v>
      </c>
      <c r="E16" s="13" t="s">
        <v>8</v>
      </c>
      <c r="F16" s="13"/>
      <c r="J16" s="15"/>
    </row>
    <row r="17" spans="1:10" ht="12.75">
      <c r="A17" s="9">
        <f t="shared" si="0"/>
        <v>18372</v>
      </c>
      <c r="B17" s="10">
        <v>18372</v>
      </c>
      <c r="C17" s="11">
        <v>0.02</v>
      </c>
      <c r="E17" s="13" t="s">
        <v>8</v>
      </c>
      <c r="F17" s="13"/>
      <c r="J17" s="15"/>
    </row>
    <row r="18" spans="1:10" ht="12.75">
      <c r="A18" s="9">
        <f t="shared" si="0"/>
        <v>18402</v>
      </c>
      <c r="B18" s="10">
        <v>18402</v>
      </c>
      <c r="C18" s="11">
        <v>0.02</v>
      </c>
      <c r="E18" s="13" t="s">
        <v>8</v>
      </c>
      <c r="F18" s="13"/>
      <c r="J18" s="15"/>
    </row>
    <row r="19" spans="1:10" ht="12.75">
      <c r="A19" s="9">
        <f t="shared" si="0"/>
        <v>18433</v>
      </c>
      <c r="B19" s="10">
        <v>18433</v>
      </c>
      <c r="C19" s="11">
        <v>0.02</v>
      </c>
      <c r="E19" s="13" t="s">
        <v>8</v>
      </c>
      <c r="F19" s="13"/>
      <c r="J19" s="15"/>
    </row>
    <row r="20" spans="1:10" ht="12.75">
      <c r="A20" s="9">
        <f t="shared" si="0"/>
        <v>18463</v>
      </c>
      <c r="B20" s="10">
        <v>18463</v>
      </c>
      <c r="C20" s="11">
        <v>0.02</v>
      </c>
      <c r="E20" s="13" t="s">
        <v>8</v>
      </c>
      <c r="F20" s="13"/>
      <c r="J20" s="15"/>
    </row>
    <row r="21" spans="1:10" ht="12.75">
      <c r="A21" s="9">
        <f t="shared" si="0"/>
        <v>18494</v>
      </c>
      <c r="B21" s="10">
        <v>18494</v>
      </c>
      <c r="C21" s="11">
        <v>0.02</v>
      </c>
      <c r="E21" s="13" t="s">
        <v>8</v>
      </c>
      <c r="F21" s="13"/>
      <c r="J21" s="15"/>
    </row>
    <row r="22" spans="1:10" ht="12.75">
      <c r="A22" s="9">
        <f t="shared" si="0"/>
        <v>18525</v>
      </c>
      <c r="B22" s="10">
        <v>18525</v>
      </c>
      <c r="C22" s="11">
        <v>2.0799999999999999E-2</v>
      </c>
      <c r="E22" s="13" t="s">
        <v>8</v>
      </c>
      <c r="F22" s="13"/>
      <c r="J22" s="15"/>
    </row>
    <row r="23" spans="1:10" ht="12.75">
      <c r="A23" s="9">
        <f t="shared" si="0"/>
        <v>18555</v>
      </c>
      <c r="B23" s="10">
        <v>18555</v>
      </c>
      <c r="C23" s="11">
        <v>2.2499999999999999E-2</v>
      </c>
      <c r="E23" s="13" t="s">
        <v>8</v>
      </c>
      <c r="F23" s="13"/>
      <c r="J23" s="15"/>
    </row>
    <row r="24" spans="1:10" ht="12.75">
      <c r="A24" s="9">
        <f t="shared" si="0"/>
        <v>18586</v>
      </c>
      <c r="B24" s="10">
        <v>18586</v>
      </c>
      <c r="C24" s="11">
        <v>2.2499999999999999E-2</v>
      </c>
      <c r="E24" s="13" t="s">
        <v>8</v>
      </c>
      <c r="F24" s="13"/>
      <c r="J24" s="15"/>
    </row>
    <row r="25" spans="1:10" ht="12.75">
      <c r="A25" s="9">
        <f t="shared" si="0"/>
        <v>18616</v>
      </c>
      <c r="B25" s="10">
        <v>18616</v>
      </c>
      <c r="C25" s="11">
        <v>2.2499999999999999E-2</v>
      </c>
      <c r="E25" s="13" t="s">
        <v>8</v>
      </c>
      <c r="F25" s="13"/>
      <c r="J25" s="15"/>
    </row>
    <row r="26" spans="1:10" ht="12.75">
      <c r="A26" s="9">
        <f t="shared" si="0"/>
        <v>18647</v>
      </c>
      <c r="B26" s="10">
        <v>18647</v>
      </c>
      <c r="C26" s="11">
        <v>2.4399999999999998E-2</v>
      </c>
      <c r="E26" s="13" t="s">
        <v>8</v>
      </c>
      <c r="F26" s="13"/>
      <c r="J26" s="15"/>
    </row>
    <row r="27" spans="1:10" ht="12.75">
      <c r="A27" s="9">
        <f t="shared" si="0"/>
        <v>18678</v>
      </c>
      <c r="B27" s="10">
        <v>18678</v>
      </c>
      <c r="C27" s="11">
        <v>2.5000000000000001E-2</v>
      </c>
      <c r="E27" s="13" t="s">
        <v>8</v>
      </c>
      <c r="F27" s="13"/>
      <c r="J27" s="15"/>
    </row>
    <row r="28" spans="1:10" ht="12.75">
      <c r="A28" s="9">
        <f t="shared" si="0"/>
        <v>18706</v>
      </c>
      <c r="B28" s="10">
        <v>18706</v>
      </c>
      <c r="C28" s="11">
        <v>2.5000000000000001E-2</v>
      </c>
      <c r="E28" s="13" t="s">
        <v>8</v>
      </c>
      <c r="F28" s="13"/>
      <c r="J28" s="15"/>
    </row>
    <row r="29" spans="1:10" ht="12.75">
      <c r="A29" s="9">
        <f t="shared" si="0"/>
        <v>18737</v>
      </c>
      <c r="B29" s="10">
        <v>18737</v>
      </c>
      <c r="C29" s="11">
        <v>2.5000000000000001E-2</v>
      </c>
      <c r="E29" s="13" t="s">
        <v>8</v>
      </c>
      <c r="F29" s="13"/>
      <c r="J29" s="15"/>
    </row>
    <row r="30" spans="1:10" ht="12.75">
      <c r="A30" s="9">
        <f t="shared" si="0"/>
        <v>18767</v>
      </c>
      <c r="B30" s="10">
        <v>18767</v>
      </c>
      <c r="C30" s="11">
        <v>2.5000000000000001E-2</v>
      </c>
      <c r="E30" s="13" t="s">
        <v>8</v>
      </c>
      <c r="F30" s="13"/>
      <c r="J30" s="15"/>
    </row>
    <row r="31" spans="1:10" ht="12.75">
      <c r="A31" s="9">
        <f t="shared" si="0"/>
        <v>18798</v>
      </c>
      <c r="B31" s="10">
        <v>18798</v>
      </c>
      <c r="C31" s="11">
        <v>2.5000000000000001E-2</v>
      </c>
      <c r="E31" s="13" t="s">
        <v>8</v>
      </c>
      <c r="F31" s="13"/>
      <c r="J31" s="15"/>
    </row>
    <row r="32" spans="1:10" ht="12.75">
      <c r="A32" s="9">
        <f t="shared" si="0"/>
        <v>18828</v>
      </c>
      <c r="B32" s="10">
        <v>18828</v>
      </c>
      <c r="C32" s="11">
        <v>2.5000000000000001E-2</v>
      </c>
      <c r="E32" s="13" t="s">
        <v>8</v>
      </c>
      <c r="F32" s="13"/>
      <c r="J32" s="15"/>
    </row>
    <row r="33" spans="1:10" ht="12.75">
      <c r="A33" s="9">
        <f t="shared" si="0"/>
        <v>18859</v>
      </c>
      <c r="B33" s="10">
        <v>18859</v>
      </c>
      <c r="C33" s="11">
        <v>2.5000000000000001E-2</v>
      </c>
      <c r="E33" s="13" t="s">
        <v>8</v>
      </c>
      <c r="F33" s="13"/>
      <c r="J33" s="15"/>
    </row>
    <row r="34" spans="1:10" ht="12.75">
      <c r="A34" s="9">
        <f t="shared" si="0"/>
        <v>18890</v>
      </c>
      <c r="B34" s="10">
        <v>18890</v>
      </c>
      <c r="C34" s="11">
        <v>2.5000000000000001E-2</v>
      </c>
      <c r="E34" s="13" t="s">
        <v>8</v>
      </c>
      <c r="F34" s="13"/>
      <c r="J34" s="15"/>
    </row>
    <row r="35" spans="1:10" ht="12.75">
      <c r="A35" s="9">
        <f t="shared" si="0"/>
        <v>18920</v>
      </c>
      <c r="B35" s="10">
        <v>18920</v>
      </c>
      <c r="C35" s="11">
        <v>2.6200000000000001E-2</v>
      </c>
      <c r="E35" s="13" t="s">
        <v>8</v>
      </c>
      <c r="F35" s="13"/>
      <c r="J35" s="15"/>
    </row>
    <row r="36" spans="1:10" ht="12.75">
      <c r="A36" s="9">
        <f t="shared" si="0"/>
        <v>18951</v>
      </c>
      <c r="B36" s="10">
        <v>18951</v>
      </c>
      <c r="C36" s="11">
        <v>2.75E-2</v>
      </c>
      <c r="E36" s="13" t="s">
        <v>8</v>
      </c>
      <c r="F36" s="13"/>
      <c r="J36" s="15"/>
    </row>
    <row r="37" spans="1:10" ht="12.75">
      <c r="A37" s="9">
        <f t="shared" si="0"/>
        <v>18981</v>
      </c>
      <c r="B37" s="10">
        <v>18981</v>
      </c>
      <c r="C37" s="11">
        <v>2.8500000000000001E-2</v>
      </c>
      <c r="E37" s="13" t="s">
        <v>8</v>
      </c>
      <c r="F37" s="13"/>
      <c r="J37" s="15"/>
    </row>
    <row r="38" spans="1:10" ht="12.75">
      <c r="A38" s="9">
        <f t="shared" si="0"/>
        <v>19012</v>
      </c>
      <c r="B38" s="10">
        <v>19012</v>
      </c>
      <c r="C38" s="11">
        <v>0.03</v>
      </c>
      <c r="E38" s="13" t="s">
        <v>8</v>
      </c>
      <c r="F38" s="13"/>
      <c r="J38" s="15"/>
    </row>
    <row r="39" spans="1:10" ht="12.75">
      <c r="A39" s="9">
        <f t="shared" si="0"/>
        <v>19043</v>
      </c>
      <c r="B39" s="10">
        <v>19043</v>
      </c>
      <c r="C39" s="11">
        <v>0.03</v>
      </c>
      <c r="E39" s="13" t="s">
        <v>8</v>
      </c>
      <c r="F39" s="13"/>
      <c r="J39" s="15"/>
    </row>
    <row r="40" spans="1:10" ht="12.75">
      <c r="A40" s="9">
        <f t="shared" si="0"/>
        <v>19072</v>
      </c>
      <c r="B40" s="10">
        <v>19072</v>
      </c>
      <c r="C40" s="11">
        <v>0.03</v>
      </c>
      <c r="E40" s="13" t="s">
        <v>8</v>
      </c>
      <c r="F40" s="13"/>
      <c r="J40" s="15"/>
    </row>
    <row r="41" spans="1:10" ht="12.75">
      <c r="A41" s="9">
        <f t="shared" si="0"/>
        <v>19103</v>
      </c>
      <c r="B41" s="10">
        <v>19103</v>
      </c>
      <c r="C41" s="11">
        <v>0.03</v>
      </c>
      <c r="E41" s="13" t="s">
        <v>8</v>
      </c>
      <c r="F41" s="13"/>
      <c r="J41" s="15"/>
    </row>
    <row r="42" spans="1:10" ht="12.75">
      <c r="A42" s="9">
        <f t="shared" si="0"/>
        <v>19133</v>
      </c>
      <c r="B42" s="10">
        <v>19133</v>
      </c>
      <c r="C42" s="11">
        <v>0.03</v>
      </c>
      <c r="E42" s="13" t="s">
        <v>8</v>
      </c>
      <c r="F42" s="13"/>
      <c r="J42" s="15"/>
    </row>
    <row r="43" spans="1:10" ht="12.75">
      <c r="A43" s="9">
        <f t="shared" si="0"/>
        <v>19164</v>
      </c>
      <c r="B43" s="10">
        <v>19164</v>
      </c>
      <c r="C43" s="11">
        <v>0.03</v>
      </c>
      <c r="E43" s="13" t="s">
        <v>8</v>
      </c>
      <c r="F43" s="13"/>
      <c r="J43" s="15"/>
    </row>
    <row r="44" spans="1:10" ht="12.75">
      <c r="A44" s="9">
        <f t="shared" si="0"/>
        <v>19194</v>
      </c>
      <c r="B44" s="10">
        <v>19194</v>
      </c>
      <c r="C44" s="11">
        <v>0.03</v>
      </c>
      <c r="E44" s="13" t="s">
        <v>8</v>
      </c>
      <c r="F44" s="13"/>
      <c r="J44" s="15"/>
    </row>
    <row r="45" spans="1:10" ht="12.75">
      <c r="A45" s="9">
        <f t="shared" si="0"/>
        <v>19225</v>
      </c>
      <c r="B45" s="10">
        <v>19225</v>
      </c>
      <c r="C45" s="11">
        <v>0.03</v>
      </c>
      <c r="E45" s="13" t="s">
        <v>8</v>
      </c>
      <c r="F45" s="13"/>
      <c r="J45" s="15"/>
    </row>
    <row r="46" spans="1:10" ht="12.75">
      <c r="A46" s="9">
        <f t="shared" si="0"/>
        <v>19256</v>
      </c>
      <c r="B46" s="10">
        <v>19256</v>
      </c>
      <c r="C46" s="11">
        <v>0.03</v>
      </c>
      <c r="E46" s="13" t="s">
        <v>8</v>
      </c>
      <c r="F46" s="13"/>
      <c r="J46" s="15"/>
    </row>
    <row r="47" spans="1:10" ht="12.75">
      <c r="A47" s="9">
        <f t="shared" si="0"/>
        <v>19286</v>
      </c>
      <c r="B47" s="10">
        <v>19286</v>
      </c>
      <c r="C47" s="11">
        <v>0.03</v>
      </c>
      <c r="E47" s="13" t="s">
        <v>8</v>
      </c>
      <c r="F47" s="13"/>
      <c r="J47" s="15"/>
    </row>
    <row r="48" spans="1:10" ht="12.75">
      <c r="A48" s="9">
        <f t="shared" si="0"/>
        <v>19317</v>
      </c>
      <c r="B48" s="10">
        <v>19317</v>
      </c>
      <c r="C48" s="11">
        <v>0.03</v>
      </c>
      <c r="E48" s="13" t="s">
        <v>8</v>
      </c>
      <c r="F48" s="13"/>
      <c r="J48" s="15"/>
    </row>
    <row r="49" spans="1:10" ht="12.75">
      <c r="A49" s="9">
        <f t="shared" si="0"/>
        <v>19347</v>
      </c>
      <c r="B49" s="10">
        <v>19347</v>
      </c>
      <c r="C49" s="11">
        <v>0.03</v>
      </c>
      <c r="E49" s="13" t="s">
        <v>8</v>
      </c>
      <c r="F49" s="13"/>
      <c r="J49" s="15"/>
    </row>
    <row r="50" spans="1:10" ht="12.75">
      <c r="A50" s="9">
        <f t="shared" si="0"/>
        <v>19378</v>
      </c>
      <c r="B50" s="10">
        <v>19378</v>
      </c>
      <c r="C50" s="11">
        <v>0.03</v>
      </c>
      <c r="E50" s="13" t="s">
        <v>8</v>
      </c>
      <c r="F50" s="13"/>
      <c r="J50" s="15"/>
    </row>
    <row r="51" spans="1:10" ht="12.75">
      <c r="A51" s="9">
        <f t="shared" si="0"/>
        <v>19409</v>
      </c>
      <c r="B51" s="10">
        <v>19409</v>
      </c>
      <c r="C51" s="11">
        <v>0.03</v>
      </c>
      <c r="E51" s="13" t="s">
        <v>8</v>
      </c>
      <c r="F51" s="13"/>
      <c r="J51" s="15"/>
    </row>
    <row r="52" spans="1:10" ht="12.75">
      <c r="A52" s="9">
        <f t="shared" si="0"/>
        <v>19437</v>
      </c>
      <c r="B52" s="10">
        <v>19437</v>
      </c>
      <c r="C52" s="11">
        <v>0.03</v>
      </c>
      <c r="E52" s="13" t="s">
        <v>8</v>
      </c>
      <c r="F52" s="13"/>
      <c r="J52" s="15"/>
    </row>
    <row r="53" spans="1:10" ht="12.75">
      <c r="A53" s="9">
        <f t="shared" si="0"/>
        <v>19468</v>
      </c>
      <c r="B53" s="10">
        <v>19468</v>
      </c>
      <c r="C53" s="11">
        <v>3.0299999999999997E-2</v>
      </c>
      <c r="E53" s="13" t="s">
        <v>8</v>
      </c>
      <c r="F53" s="13"/>
      <c r="J53" s="15"/>
    </row>
    <row r="54" spans="1:10" ht="12.75">
      <c r="A54" s="9">
        <f t="shared" si="0"/>
        <v>19498</v>
      </c>
      <c r="B54" s="10">
        <v>19498</v>
      </c>
      <c r="C54" s="11">
        <v>3.2500000000000001E-2</v>
      </c>
      <c r="E54" s="13" t="s">
        <v>8</v>
      </c>
      <c r="F54" s="13"/>
      <c r="J54" s="15"/>
    </row>
    <row r="55" spans="1:10" ht="12.75">
      <c r="A55" s="9">
        <f t="shared" si="0"/>
        <v>19529</v>
      </c>
      <c r="B55" s="10">
        <v>19529</v>
      </c>
      <c r="C55" s="11">
        <v>3.2500000000000001E-2</v>
      </c>
      <c r="E55" s="13" t="s">
        <v>8</v>
      </c>
      <c r="F55" s="13"/>
      <c r="J55" s="15"/>
    </row>
    <row r="56" spans="1:10" ht="12.75">
      <c r="A56" s="9">
        <f t="shared" si="0"/>
        <v>19559</v>
      </c>
      <c r="B56" s="10">
        <v>19559</v>
      </c>
      <c r="C56" s="11">
        <v>3.2500000000000001E-2</v>
      </c>
      <c r="E56" s="13" t="s">
        <v>8</v>
      </c>
      <c r="F56" s="13"/>
      <c r="J56" s="15"/>
    </row>
    <row r="57" spans="1:10" ht="12.75">
      <c r="A57" s="9">
        <f t="shared" si="0"/>
        <v>19590</v>
      </c>
      <c r="B57" s="10">
        <v>19590</v>
      </c>
      <c r="C57" s="11">
        <v>3.2500000000000001E-2</v>
      </c>
      <c r="E57" s="13" t="s">
        <v>8</v>
      </c>
      <c r="F57" s="13"/>
      <c r="J57" s="15"/>
    </row>
    <row r="58" spans="1:10" ht="12.75">
      <c r="A58" s="9">
        <f t="shared" si="0"/>
        <v>19621</v>
      </c>
      <c r="B58" s="10">
        <v>19621</v>
      </c>
      <c r="C58" s="11">
        <v>3.2500000000000001E-2</v>
      </c>
      <c r="E58" s="13" t="s">
        <v>8</v>
      </c>
      <c r="F58" s="13"/>
      <c r="J58" s="15"/>
    </row>
    <row r="59" spans="1:10" ht="12.75">
      <c r="A59" s="9">
        <f t="shared" si="0"/>
        <v>19651</v>
      </c>
      <c r="B59" s="10">
        <v>19651</v>
      </c>
      <c r="C59" s="11">
        <v>3.2500000000000001E-2</v>
      </c>
      <c r="E59" s="13" t="s">
        <v>8</v>
      </c>
      <c r="F59" s="13"/>
      <c r="J59" s="15"/>
    </row>
    <row r="60" spans="1:10" ht="12.75">
      <c r="A60" s="9">
        <f t="shared" si="0"/>
        <v>19682</v>
      </c>
      <c r="B60" s="10">
        <v>19682</v>
      </c>
      <c r="C60" s="11">
        <v>3.2500000000000001E-2</v>
      </c>
      <c r="E60" s="13" t="s">
        <v>8</v>
      </c>
      <c r="F60" s="13"/>
      <c r="J60" s="15"/>
    </row>
    <row r="61" spans="1:10" ht="12.75">
      <c r="A61" s="9">
        <f t="shared" si="0"/>
        <v>19712</v>
      </c>
      <c r="B61" s="10">
        <v>19712</v>
      </c>
      <c r="C61" s="11">
        <v>3.2500000000000001E-2</v>
      </c>
      <c r="E61" s="13" t="s">
        <v>8</v>
      </c>
      <c r="F61" s="13"/>
      <c r="J61" s="15"/>
    </row>
    <row r="62" spans="1:10" ht="12.75">
      <c r="A62" s="9">
        <f t="shared" si="0"/>
        <v>19743</v>
      </c>
      <c r="B62" s="10">
        <v>19743</v>
      </c>
      <c r="C62" s="11">
        <v>3.2500000000000001E-2</v>
      </c>
      <c r="E62" s="13" t="s">
        <v>8</v>
      </c>
      <c r="F62" s="13"/>
      <c r="J62" s="15"/>
    </row>
    <row r="63" spans="1:10" ht="12.75">
      <c r="A63" s="9">
        <f t="shared" si="0"/>
        <v>19774</v>
      </c>
      <c r="B63" s="10">
        <v>19774</v>
      </c>
      <c r="C63" s="11">
        <v>3.2500000000000001E-2</v>
      </c>
      <c r="E63" s="13" t="s">
        <v>8</v>
      </c>
      <c r="F63" s="13"/>
      <c r="J63" s="15"/>
    </row>
    <row r="64" spans="1:10" ht="12.75">
      <c r="A64" s="9">
        <f t="shared" si="0"/>
        <v>19802</v>
      </c>
      <c r="B64" s="10">
        <v>19802</v>
      </c>
      <c r="C64" s="11">
        <v>3.1300000000000001E-2</v>
      </c>
      <c r="E64" s="13" t="s">
        <v>8</v>
      </c>
      <c r="F64" s="13"/>
      <c r="J64" s="15"/>
    </row>
    <row r="65" spans="1:10" ht="12.75">
      <c r="A65" s="9">
        <f t="shared" si="0"/>
        <v>19833</v>
      </c>
      <c r="B65" s="10">
        <v>19833</v>
      </c>
      <c r="C65" s="11">
        <v>0.03</v>
      </c>
      <c r="E65" s="13" t="s">
        <v>8</v>
      </c>
      <c r="F65" s="13"/>
      <c r="J65" s="15"/>
    </row>
    <row r="66" spans="1:10" ht="12.75">
      <c r="A66" s="9">
        <f t="shared" si="0"/>
        <v>19863</v>
      </c>
      <c r="B66" s="10">
        <v>19863</v>
      </c>
      <c r="C66" s="11">
        <v>0.03</v>
      </c>
      <c r="E66" s="13" t="s">
        <v>8</v>
      </c>
      <c r="F66" s="13"/>
      <c r="J66" s="15"/>
    </row>
    <row r="67" spans="1:10" ht="12.75">
      <c r="A67" s="9">
        <f t="shared" ref="A67:A130" si="1">+B67</f>
        <v>19894</v>
      </c>
      <c r="B67" s="10">
        <v>19894</v>
      </c>
      <c r="C67" s="11">
        <v>0.03</v>
      </c>
      <c r="E67" s="13" t="s">
        <v>8</v>
      </c>
      <c r="F67" s="13"/>
      <c r="J67" s="15"/>
    </row>
    <row r="68" spans="1:10" ht="12.75">
      <c r="A68" s="9">
        <f t="shared" si="1"/>
        <v>19924</v>
      </c>
      <c r="B68" s="10">
        <v>19924</v>
      </c>
      <c r="C68" s="11">
        <v>0.03</v>
      </c>
      <c r="E68" s="13" t="s">
        <v>8</v>
      </c>
      <c r="F68" s="13"/>
      <c r="J68" s="15"/>
    </row>
    <row r="69" spans="1:10" ht="12.75">
      <c r="A69" s="9">
        <f t="shared" si="1"/>
        <v>19955</v>
      </c>
      <c r="B69" s="10">
        <v>19955</v>
      </c>
      <c r="C69" s="11">
        <v>0.03</v>
      </c>
      <c r="E69" s="13" t="s">
        <v>8</v>
      </c>
      <c r="F69" s="13"/>
      <c r="J69" s="15"/>
    </row>
    <row r="70" spans="1:10" ht="12.75">
      <c r="A70" s="9">
        <f t="shared" si="1"/>
        <v>19986</v>
      </c>
      <c r="B70" s="10">
        <v>19986</v>
      </c>
      <c r="C70" s="11">
        <v>0.03</v>
      </c>
      <c r="E70" s="13" t="s">
        <v>8</v>
      </c>
      <c r="F70" s="13"/>
      <c r="J70" s="15"/>
    </row>
    <row r="71" spans="1:10" ht="12.75">
      <c r="A71" s="9">
        <f t="shared" si="1"/>
        <v>20016</v>
      </c>
      <c r="B71" s="10">
        <v>20016</v>
      </c>
      <c r="C71" s="11">
        <v>0.03</v>
      </c>
      <c r="E71" s="13" t="s">
        <v>8</v>
      </c>
      <c r="F71" s="13"/>
      <c r="J71" s="15"/>
    </row>
    <row r="72" spans="1:10" ht="12.75">
      <c r="A72" s="9">
        <f t="shared" si="1"/>
        <v>20047</v>
      </c>
      <c r="B72" s="10">
        <v>20047</v>
      </c>
      <c r="C72" s="11">
        <v>0.03</v>
      </c>
      <c r="E72" s="13" t="s">
        <v>8</v>
      </c>
      <c r="F72" s="13"/>
      <c r="J72" s="15"/>
    </row>
    <row r="73" spans="1:10" ht="12.75">
      <c r="A73" s="9">
        <f t="shared" si="1"/>
        <v>20077</v>
      </c>
      <c r="B73" s="10">
        <v>20077</v>
      </c>
      <c r="C73" s="11">
        <v>0.03</v>
      </c>
      <c r="E73" s="13" t="s">
        <v>8</v>
      </c>
      <c r="F73" s="13"/>
      <c r="J73" s="15"/>
    </row>
    <row r="74" spans="1:10" ht="12.75">
      <c r="A74" s="9">
        <f t="shared" si="1"/>
        <v>20108</v>
      </c>
      <c r="B74" s="10">
        <v>20108</v>
      </c>
      <c r="C74" s="11">
        <v>0.03</v>
      </c>
      <c r="E74" s="13" t="s">
        <v>8</v>
      </c>
      <c r="F74" s="13"/>
      <c r="J74" s="15"/>
    </row>
    <row r="75" spans="1:10" ht="12.75">
      <c r="A75" s="9">
        <f t="shared" si="1"/>
        <v>20139</v>
      </c>
      <c r="B75" s="10">
        <v>20139</v>
      </c>
      <c r="C75" s="11">
        <v>0.03</v>
      </c>
      <c r="E75" s="13" t="s">
        <v>8</v>
      </c>
      <c r="F75" s="13"/>
      <c r="J75" s="15"/>
    </row>
    <row r="76" spans="1:10" ht="12.75">
      <c r="A76" s="9">
        <f t="shared" si="1"/>
        <v>20167</v>
      </c>
      <c r="B76" s="10">
        <v>20167</v>
      </c>
      <c r="C76" s="11">
        <v>0.03</v>
      </c>
      <c r="E76" s="13" t="s">
        <v>8</v>
      </c>
      <c r="F76" s="13"/>
      <c r="J76" s="15"/>
    </row>
    <row r="77" spans="1:10" ht="12.75">
      <c r="A77" s="9">
        <f t="shared" si="1"/>
        <v>20198</v>
      </c>
      <c r="B77" s="10">
        <v>20198</v>
      </c>
      <c r="C77" s="11">
        <v>0.03</v>
      </c>
      <c r="E77" s="13" t="s">
        <v>8</v>
      </c>
      <c r="F77" s="13"/>
      <c r="J77" s="15"/>
    </row>
    <row r="78" spans="1:10" ht="12.75">
      <c r="A78" s="9">
        <f t="shared" si="1"/>
        <v>20228</v>
      </c>
      <c r="B78" s="10">
        <v>20228</v>
      </c>
      <c r="C78" s="11">
        <v>0.03</v>
      </c>
      <c r="E78" s="13" t="s">
        <v>8</v>
      </c>
      <c r="F78" s="13"/>
      <c r="J78" s="15"/>
    </row>
    <row r="79" spans="1:10" ht="12.75">
      <c r="A79" s="9">
        <f t="shared" si="1"/>
        <v>20259</v>
      </c>
      <c r="B79" s="10">
        <v>20259</v>
      </c>
      <c r="C79" s="11">
        <v>0.03</v>
      </c>
      <c r="E79" s="13" t="s">
        <v>8</v>
      </c>
      <c r="F79" s="13"/>
      <c r="J79" s="15"/>
    </row>
    <row r="80" spans="1:10" ht="12.75">
      <c r="A80" s="9">
        <f t="shared" si="1"/>
        <v>20289</v>
      </c>
      <c r="B80" s="10">
        <v>20289</v>
      </c>
      <c r="C80" s="11">
        <v>0.03</v>
      </c>
      <c r="E80" s="13" t="s">
        <v>8</v>
      </c>
      <c r="F80" s="13"/>
      <c r="J80" s="15"/>
    </row>
    <row r="81" spans="1:10" ht="12.75">
      <c r="A81" s="9">
        <f t="shared" si="1"/>
        <v>20320</v>
      </c>
      <c r="B81" s="10">
        <v>20320</v>
      </c>
      <c r="C81" s="11">
        <v>3.2300000000000002E-2</v>
      </c>
      <c r="E81" s="13" t="s">
        <v>8</v>
      </c>
      <c r="F81" s="13"/>
      <c r="J81" s="15"/>
    </row>
    <row r="82" spans="1:10" ht="12.75">
      <c r="A82" s="9">
        <f t="shared" si="1"/>
        <v>20351</v>
      </c>
      <c r="B82" s="10">
        <v>20351</v>
      </c>
      <c r="C82" s="11">
        <v>3.2500000000000001E-2</v>
      </c>
      <c r="E82" s="13" t="s">
        <v>8</v>
      </c>
      <c r="F82" s="13"/>
      <c r="J82" s="15"/>
    </row>
    <row r="83" spans="1:10" ht="12.75">
      <c r="A83" s="9">
        <f t="shared" si="1"/>
        <v>20381</v>
      </c>
      <c r="B83" s="10">
        <v>20381</v>
      </c>
      <c r="C83" s="11">
        <v>3.4000000000000002E-2</v>
      </c>
      <c r="E83" s="13" t="s">
        <v>8</v>
      </c>
      <c r="F83" s="13"/>
      <c r="J83" s="15"/>
    </row>
    <row r="84" spans="1:10" ht="12.75">
      <c r="A84" s="9">
        <f t="shared" si="1"/>
        <v>20412</v>
      </c>
      <c r="B84" s="10">
        <v>20412</v>
      </c>
      <c r="C84" s="11">
        <v>3.5000000000000003E-2</v>
      </c>
      <c r="E84" s="13" t="s">
        <v>8</v>
      </c>
      <c r="F84" s="13"/>
      <c r="J84" s="15"/>
    </row>
    <row r="85" spans="1:10" ht="12.75">
      <c r="A85" s="9">
        <f t="shared" si="1"/>
        <v>20442</v>
      </c>
      <c r="B85" s="10">
        <v>20442</v>
      </c>
      <c r="C85" s="11">
        <v>3.5000000000000003E-2</v>
      </c>
      <c r="E85" s="13" t="s">
        <v>8</v>
      </c>
      <c r="F85" s="13"/>
      <c r="J85" s="15"/>
    </row>
    <row r="86" spans="1:10" ht="12.75">
      <c r="A86" s="9">
        <f t="shared" si="1"/>
        <v>20473</v>
      </c>
      <c r="B86" s="10">
        <v>20473</v>
      </c>
      <c r="C86" s="11">
        <v>3.5000000000000003E-2</v>
      </c>
      <c r="E86" s="13" t="s">
        <v>8</v>
      </c>
      <c r="F86" s="13"/>
      <c r="J86" s="15"/>
    </row>
    <row r="87" spans="1:10" ht="12.75">
      <c r="A87" s="9">
        <f t="shared" si="1"/>
        <v>20504</v>
      </c>
      <c r="B87" s="10">
        <v>20504</v>
      </c>
      <c r="C87" s="11">
        <v>3.5000000000000003E-2</v>
      </c>
      <c r="E87" s="13" t="s">
        <v>8</v>
      </c>
      <c r="F87" s="13"/>
      <c r="J87" s="15"/>
    </row>
    <row r="88" spans="1:10" ht="12.75">
      <c r="A88" s="9">
        <f t="shared" si="1"/>
        <v>20533</v>
      </c>
      <c r="B88" s="10">
        <v>20533</v>
      </c>
      <c r="C88" s="11">
        <v>3.5000000000000003E-2</v>
      </c>
      <c r="E88" s="13" t="s">
        <v>8</v>
      </c>
      <c r="F88" s="13"/>
      <c r="J88" s="15"/>
    </row>
    <row r="89" spans="1:10" ht="12.75">
      <c r="A89" s="9">
        <f t="shared" si="1"/>
        <v>20564</v>
      </c>
      <c r="B89" s="10">
        <v>20564</v>
      </c>
      <c r="C89" s="11">
        <v>3.6499999999999998E-2</v>
      </c>
      <c r="E89" s="13" t="s">
        <v>8</v>
      </c>
      <c r="F89" s="13"/>
      <c r="J89" s="15"/>
    </row>
    <row r="90" spans="1:10" ht="12.75">
      <c r="A90" s="9">
        <f t="shared" si="1"/>
        <v>20594</v>
      </c>
      <c r="B90" s="10">
        <v>20594</v>
      </c>
      <c r="C90" s="11">
        <v>3.7499999999999999E-2</v>
      </c>
      <c r="E90" s="13" t="s">
        <v>8</v>
      </c>
      <c r="F90" s="13"/>
      <c r="J90" s="15"/>
    </row>
    <row r="91" spans="1:10" ht="12.75">
      <c r="A91" s="9">
        <f t="shared" si="1"/>
        <v>20625</v>
      </c>
      <c r="B91" s="10">
        <v>20625</v>
      </c>
      <c r="C91" s="11">
        <v>3.7499999999999999E-2</v>
      </c>
      <c r="E91" s="13" t="s">
        <v>8</v>
      </c>
      <c r="F91" s="13"/>
      <c r="J91" s="15"/>
    </row>
    <row r="92" spans="1:10" ht="12.75">
      <c r="A92" s="9">
        <f t="shared" si="1"/>
        <v>20655</v>
      </c>
      <c r="B92" s="10">
        <v>20655</v>
      </c>
      <c r="C92" s="11">
        <v>3.7499999999999999E-2</v>
      </c>
      <c r="E92" s="13" t="s">
        <v>8</v>
      </c>
      <c r="F92" s="13"/>
      <c r="J92" s="15"/>
    </row>
    <row r="93" spans="1:10" ht="12.75">
      <c r="A93" s="9">
        <f t="shared" si="1"/>
        <v>20686</v>
      </c>
      <c r="B93" s="10">
        <v>20686</v>
      </c>
      <c r="C93" s="11">
        <v>3.8399999999999997E-2</v>
      </c>
      <c r="E93" s="13" t="s">
        <v>8</v>
      </c>
      <c r="F93" s="13"/>
      <c r="J93" s="15"/>
    </row>
    <row r="94" spans="1:10" ht="12.75">
      <c r="A94" s="9">
        <f t="shared" si="1"/>
        <v>20717</v>
      </c>
      <c r="B94" s="10">
        <v>20717</v>
      </c>
      <c r="C94" s="11">
        <v>0.04</v>
      </c>
      <c r="E94" s="13" t="s">
        <v>8</v>
      </c>
      <c r="F94" s="13"/>
      <c r="J94" s="15"/>
    </row>
    <row r="95" spans="1:10" ht="12.75">
      <c r="A95" s="9">
        <f t="shared" si="1"/>
        <v>20747</v>
      </c>
      <c r="B95" s="10">
        <v>20747</v>
      </c>
      <c r="C95" s="11">
        <v>0.04</v>
      </c>
      <c r="E95" s="13" t="s">
        <v>8</v>
      </c>
      <c r="F95" s="13"/>
      <c r="J95" s="15"/>
    </row>
    <row r="96" spans="1:10" ht="12.75">
      <c r="A96" s="9">
        <f t="shared" si="1"/>
        <v>20778</v>
      </c>
      <c r="B96" s="10">
        <v>20778</v>
      </c>
      <c r="C96" s="11">
        <v>0.04</v>
      </c>
      <c r="E96" s="13" t="s">
        <v>8</v>
      </c>
      <c r="F96" s="13"/>
      <c r="J96" s="15"/>
    </row>
    <row r="97" spans="1:10" ht="12.75">
      <c r="A97" s="9">
        <f t="shared" si="1"/>
        <v>20808</v>
      </c>
      <c r="B97" s="10">
        <v>20808</v>
      </c>
      <c r="C97" s="11">
        <v>0.04</v>
      </c>
      <c r="E97" s="13" t="s">
        <v>8</v>
      </c>
      <c r="F97" s="13"/>
      <c r="J97" s="15"/>
    </row>
    <row r="98" spans="1:10" ht="12.75">
      <c r="A98" s="9">
        <f t="shared" si="1"/>
        <v>20839</v>
      </c>
      <c r="B98" s="10">
        <v>20839</v>
      </c>
      <c r="C98" s="11">
        <v>0.04</v>
      </c>
      <c r="E98" s="13" t="s">
        <v>8</v>
      </c>
      <c r="F98" s="13"/>
      <c r="J98" s="15"/>
    </row>
    <row r="99" spans="1:10" ht="12.75">
      <c r="A99" s="9">
        <f t="shared" si="1"/>
        <v>20870</v>
      </c>
      <c r="B99" s="10">
        <v>20870</v>
      </c>
      <c r="C99" s="11">
        <v>0.04</v>
      </c>
      <c r="E99" s="13" t="s">
        <v>8</v>
      </c>
      <c r="F99" s="13"/>
      <c r="J99" s="15"/>
    </row>
    <row r="100" spans="1:10" ht="12.75">
      <c r="A100" s="9">
        <f t="shared" si="1"/>
        <v>20898</v>
      </c>
      <c r="B100" s="10">
        <v>20898</v>
      </c>
      <c r="C100" s="11">
        <v>0.04</v>
      </c>
      <c r="E100" s="13" t="s">
        <v>8</v>
      </c>
      <c r="F100" s="13"/>
      <c r="J100" s="15"/>
    </row>
    <row r="101" spans="1:10" ht="12.75">
      <c r="A101" s="9">
        <f t="shared" si="1"/>
        <v>20929</v>
      </c>
      <c r="B101" s="10">
        <v>20929</v>
      </c>
      <c r="C101" s="11">
        <v>0.04</v>
      </c>
      <c r="E101" s="13" t="s">
        <v>8</v>
      </c>
      <c r="F101" s="13"/>
      <c r="J101" s="15"/>
    </row>
    <row r="102" spans="1:10" ht="12.75">
      <c r="A102" s="9">
        <f t="shared" si="1"/>
        <v>20959</v>
      </c>
      <c r="B102" s="10">
        <v>20959</v>
      </c>
      <c r="C102" s="11">
        <v>0.04</v>
      </c>
      <c r="E102" s="13" t="s">
        <v>8</v>
      </c>
      <c r="F102" s="13"/>
      <c r="J102" s="15"/>
    </row>
    <row r="103" spans="1:10" ht="12.75">
      <c r="A103" s="9">
        <f t="shared" si="1"/>
        <v>20990</v>
      </c>
      <c r="B103" s="10">
        <v>20990</v>
      </c>
      <c r="C103" s="11">
        <v>0.04</v>
      </c>
      <c r="E103" s="13" t="s">
        <v>8</v>
      </c>
      <c r="F103" s="13"/>
      <c r="J103" s="15"/>
    </row>
    <row r="104" spans="1:10" ht="12.75">
      <c r="A104" s="9">
        <f t="shared" si="1"/>
        <v>21020</v>
      </c>
      <c r="B104" s="10">
        <v>21020</v>
      </c>
      <c r="C104" s="11">
        <v>0.04</v>
      </c>
      <c r="E104" s="13" t="s">
        <v>8</v>
      </c>
      <c r="F104" s="13"/>
      <c r="J104" s="15"/>
    </row>
    <row r="105" spans="1:10" ht="12.75">
      <c r="A105" s="9">
        <f t="shared" si="1"/>
        <v>21051</v>
      </c>
      <c r="B105" s="10">
        <v>21051</v>
      </c>
      <c r="C105" s="11">
        <v>4.4199999999999996E-2</v>
      </c>
      <c r="E105" s="13" t="s">
        <v>8</v>
      </c>
      <c r="F105" s="13"/>
      <c r="J105" s="15"/>
    </row>
    <row r="106" spans="1:10" ht="12.75">
      <c r="A106" s="9">
        <f t="shared" si="1"/>
        <v>21082</v>
      </c>
      <c r="B106" s="10">
        <v>21082</v>
      </c>
      <c r="C106" s="11">
        <v>4.4999999999999998E-2</v>
      </c>
      <c r="E106" s="13" t="s">
        <v>8</v>
      </c>
      <c r="F106" s="13"/>
      <c r="J106" s="15"/>
    </row>
    <row r="107" spans="1:10" ht="12.75">
      <c r="A107" s="9">
        <f t="shared" si="1"/>
        <v>21112</v>
      </c>
      <c r="B107" s="10">
        <v>21112</v>
      </c>
      <c r="C107" s="11">
        <v>4.4999999999999998E-2</v>
      </c>
      <c r="E107" s="13" t="s">
        <v>8</v>
      </c>
      <c r="F107" s="13"/>
      <c r="J107" s="15"/>
    </row>
    <row r="108" spans="1:10" ht="12.75">
      <c r="A108" s="9">
        <f t="shared" si="1"/>
        <v>21143</v>
      </c>
      <c r="B108" s="10">
        <v>21143</v>
      </c>
      <c r="C108" s="11">
        <v>4.4999999999999998E-2</v>
      </c>
      <c r="E108" s="13" t="s">
        <v>8</v>
      </c>
      <c r="F108" s="13"/>
      <c r="J108" s="15"/>
    </row>
    <row r="109" spans="1:10" ht="12.75">
      <c r="A109" s="9">
        <f t="shared" si="1"/>
        <v>21173</v>
      </c>
      <c r="B109" s="10">
        <v>21173</v>
      </c>
      <c r="C109" s="11">
        <v>4.4999999999999998E-2</v>
      </c>
      <c r="E109" s="13" t="s">
        <v>8</v>
      </c>
      <c r="F109" s="13"/>
      <c r="J109" s="15"/>
    </row>
    <row r="110" spans="1:10" ht="12.75">
      <c r="A110" s="9">
        <f t="shared" si="1"/>
        <v>21204</v>
      </c>
      <c r="B110" s="10">
        <v>21204</v>
      </c>
      <c r="C110" s="11">
        <v>4.3400000000000001E-2</v>
      </c>
      <c r="E110" s="13" t="s">
        <v>8</v>
      </c>
      <c r="F110" s="13"/>
      <c r="J110" s="15"/>
    </row>
    <row r="111" spans="1:10" ht="12.75">
      <c r="A111" s="9">
        <f t="shared" si="1"/>
        <v>21235</v>
      </c>
      <c r="B111" s="10">
        <v>21235</v>
      </c>
      <c r="C111" s="11">
        <v>0.04</v>
      </c>
      <c r="E111" s="13" t="s">
        <v>8</v>
      </c>
      <c r="F111" s="13"/>
      <c r="J111" s="15"/>
    </row>
    <row r="112" spans="1:10" ht="12.75">
      <c r="A112" s="9">
        <f t="shared" si="1"/>
        <v>21263</v>
      </c>
      <c r="B112" s="10">
        <v>21263</v>
      </c>
      <c r="C112" s="11">
        <v>0.04</v>
      </c>
      <c r="E112" s="13" t="s">
        <v>8</v>
      </c>
      <c r="F112" s="13"/>
      <c r="J112" s="15"/>
    </row>
    <row r="113" spans="1:10" ht="12.75">
      <c r="A113" s="9">
        <f t="shared" si="1"/>
        <v>21294</v>
      </c>
      <c r="B113" s="10">
        <v>21294</v>
      </c>
      <c r="C113" s="11">
        <v>3.8300000000000001E-2</v>
      </c>
      <c r="E113" s="13" t="s">
        <v>8</v>
      </c>
      <c r="F113" s="13"/>
      <c r="J113" s="15"/>
    </row>
    <row r="114" spans="1:10" ht="12.75">
      <c r="A114" s="9">
        <f t="shared" si="1"/>
        <v>21324</v>
      </c>
      <c r="B114" s="10">
        <v>21324</v>
      </c>
      <c r="C114" s="11">
        <v>3.5000000000000003E-2</v>
      </c>
      <c r="E114" s="13" t="s">
        <v>8</v>
      </c>
      <c r="F114" s="13"/>
      <c r="J114" s="15"/>
    </row>
    <row r="115" spans="1:10" ht="12.75">
      <c r="A115" s="9">
        <f t="shared" si="1"/>
        <v>21355</v>
      </c>
      <c r="B115" s="10">
        <v>21355</v>
      </c>
      <c r="C115" s="11">
        <v>3.5000000000000003E-2</v>
      </c>
      <c r="E115" s="13" t="s">
        <v>8</v>
      </c>
      <c r="F115" s="13"/>
      <c r="J115" s="15"/>
    </row>
    <row r="116" spans="1:10" ht="12.75">
      <c r="A116" s="9">
        <f t="shared" si="1"/>
        <v>21385</v>
      </c>
      <c r="B116" s="10">
        <v>21385</v>
      </c>
      <c r="C116" s="11">
        <v>3.5000000000000003E-2</v>
      </c>
      <c r="E116" s="13" t="s">
        <v>8</v>
      </c>
      <c r="F116" s="13"/>
      <c r="J116" s="15"/>
    </row>
    <row r="117" spans="1:10" ht="12.75">
      <c r="A117" s="9">
        <f t="shared" si="1"/>
        <v>21416</v>
      </c>
      <c r="B117" s="10">
        <v>21416</v>
      </c>
      <c r="C117" s="11">
        <v>3.5000000000000003E-2</v>
      </c>
      <c r="E117" s="13" t="s">
        <v>8</v>
      </c>
      <c r="F117" s="13"/>
      <c r="J117" s="15"/>
    </row>
    <row r="118" spans="1:10" ht="12.75">
      <c r="A118" s="9">
        <f t="shared" si="1"/>
        <v>21447</v>
      </c>
      <c r="B118" s="10">
        <v>21447</v>
      </c>
      <c r="C118" s="11">
        <v>3.8300000000000001E-2</v>
      </c>
      <c r="E118" s="13" t="s">
        <v>8</v>
      </c>
      <c r="F118" s="13"/>
      <c r="J118" s="15"/>
    </row>
    <row r="119" spans="1:10" ht="12.75">
      <c r="A119" s="9">
        <f t="shared" si="1"/>
        <v>21477</v>
      </c>
      <c r="B119" s="10">
        <v>21477</v>
      </c>
      <c r="C119" s="11">
        <v>0.04</v>
      </c>
      <c r="E119" s="13" t="s">
        <v>8</v>
      </c>
      <c r="F119" s="13"/>
      <c r="J119" s="15"/>
    </row>
    <row r="120" spans="1:10" ht="12.75">
      <c r="A120" s="9">
        <f t="shared" si="1"/>
        <v>21508</v>
      </c>
      <c r="B120" s="10">
        <v>21508</v>
      </c>
      <c r="C120" s="11">
        <v>0.04</v>
      </c>
      <c r="E120" s="13" t="s">
        <v>8</v>
      </c>
      <c r="F120" s="13"/>
      <c r="J120" s="15"/>
    </row>
    <row r="121" spans="1:10" ht="12.75">
      <c r="A121" s="9">
        <f t="shared" si="1"/>
        <v>21538</v>
      </c>
      <c r="B121" s="10">
        <v>21538</v>
      </c>
      <c r="C121" s="11">
        <v>0.04</v>
      </c>
      <c r="E121" s="13" t="s">
        <v>8</v>
      </c>
      <c r="F121" s="13"/>
      <c r="J121" s="15"/>
    </row>
    <row r="122" spans="1:10" ht="12.75">
      <c r="A122" s="9">
        <f t="shared" si="1"/>
        <v>21569</v>
      </c>
      <c r="B122" s="10">
        <v>21569</v>
      </c>
      <c r="C122" s="11">
        <v>0.04</v>
      </c>
      <c r="E122" s="13" t="s">
        <v>8</v>
      </c>
      <c r="F122" s="13"/>
      <c r="J122" s="15"/>
    </row>
    <row r="123" spans="1:10" ht="12.75">
      <c r="A123" s="9">
        <f t="shared" si="1"/>
        <v>21600</v>
      </c>
      <c r="B123" s="10">
        <v>21600</v>
      </c>
      <c r="C123" s="11">
        <v>0.04</v>
      </c>
      <c r="E123" s="13" t="s">
        <v>8</v>
      </c>
      <c r="F123" s="13"/>
      <c r="J123" s="15"/>
    </row>
    <row r="124" spans="1:10" ht="12.75">
      <c r="A124" s="9">
        <f t="shared" si="1"/>
        <v>21628</v>
      </c>
      <c r="B124" s="10">
        <v>21628</v>
      </c>
      <c r="C124" s="11">
        <v>0.04</v>
      </c>
      <c r="E124" s="13" t="s">
        <v>8</v>
      </c>
      <c r="F124" s="13"/>
      <c r="J124" s="15"/>
    </row>
    <row r="125" spans="1:10" ht="12.75">
      <c r="A125" s="9">
        <f t="shared" si="1"/>
        <v>21659</v>
      </c>
      <c r="B125" s="10">
        <v>21659</v>
      </c>
      <c r="C125" s="11">
        <v>0.04</v>
      </c>
      <c r="E125" s="13" t="s">
        <v>8</v>
      </c>
      <c r="F125" s="13"/>
      <c r="J125" s="15"/>
    </row>
    <row r="126" spans="1:10" ht="12.75">
      <c r="A126" s="9">
        <f t="shared" si="1"/>
        <v>21689</v>
      </c>
      <c r="B126" s="10">
        <v>21689</v>
      </c>
      <c r="C126" s="11">
        <v>4.2300000000000004E-2</v>
      </c>
      <c r="E126" s="13" t="s">
        <v>8</v>
      </c>
      <c r="F126" s="13"/>
      <c r="J126" s="15"/>
    </row>
    <row r="127" spans="1:10" ht="12.75">
      <c r="A127" s="9">
        <f t="shared" si="1"/>
        <v>21720</v>
      </c>
      <c r="B127" s="10">
        <v>21720</v>
      </c>
      <c r="C127" s="11">
        <v>4.4999999999999998E-2</v>
      </c>
      <c r="E127" s="13" t="s">
        <v>8</v>
      </c>
      <c r="F127" s="13"/>
      <c r="J127" s="15"/>
    </row>
    <row r="128" spans="1:10" ht="12.75">
      <c r="A128" s="9">
        <f t="shared" si="1"/>
        <v>21750</v>
      </c>
      <c r="B128" s="10">
        <v>21750</v>
      </c>
      <c r="C128" s="11">
        <v>4.4999999999999998E-2</v>
      </c>
      <c r="E128" s="13" t="s">
        <v>8</v>
      </c>
      <c r="F128" s="13"/>
      <c r="J128" s="15"/>
    </row>
    <row r="129" spans="1:10" ht="12.75">
      <c r="A129" s="9">
        <f t="shared" si="1"/>
        <v>21781</v>
      </c>
      <c r="B129" s="10">
        <v>21781</v>
      </c>
      <c r="C129" s="11">
        <v>4.4999999999999998E-2</v>
      </c>
      <c r="E129" s="13" t="s">
        <v>8</v>
      </c>
      <c r="F129" s="13"/>
      <c r="J129" s="15"/>
    </row>
    <row r="130" spans="1:10" ht="12.75">
      <c r="A130" s="9">
        <f t="shared" si="1"/>
        <v>21812</v>
      </c>
      <c r="B130" s="10">
        <v>21812</v>
      </c>
      <c r="C130" s="11">
        <v>0.05</v>
      </c>
      <c r="E130" s="13" t="s">
        <v>8</v>
      </c>
      <c r="F130" s="13"/>
      <c r="J130" s="15"/>
    </row>
    <row r="131" spans="1:10" ht="12.75">
      <c r="A131" s="9">
        <f t="shared" ref="A131:A194" si="2">+B131</f>
        <v>21842</v>
      </c>
      <c r="B131" s="10">
        <v>21842</v>
      </c>
      <c r="C131" s="11">
        <v>0.05</v>
      </c>
      <c r="E131" s="13" t="s">
        <v>8</v>
      </c>
      <c r="F131" s="13"/>
      <c r="J131" s="15"/>
    </row>
    <row r="132" spans="1:10" ht="12.75">
      <c r="A132" s="9">
        <f t="shared" si="2"/>
        <v>21873</v>
      </c>
      <c r="B132" s="10">
        <v>21873</v>
      </c>
      <c r="C132" s="11">
        <v>0.05</v>
      </c>
      <c r="E132" s="13" t="s">
        <v>8</v>
      </c>
      <c r="F132" s="13"/>
      <c r="J132" s="15"/>
    </row>
    <row r="133" spans="1:10" ht="12.75">
      <c r="A133" s="9">
        <f t="shared" si="2"/>
        <v>21903</v>
      </c>
      <c r="B133" s="10">
        <v>21903</v>
      </c>
      <c r="C133" s="11">
        <v>0.05</v>
      </c>
      <c r="E133" s="13" t="s">
        <v>8</v>
      </c>
      <c r="F133" s="13"/>
      <c r="J133" s="15"/>
    </row>
    <row r="134" spans="1:10" ht="12.75">
      <c r="A134" s="9">
        <f t="shared" si="2"/>
        <v>21934</v>
      </c>
      <c r="B134" s="10">
        <v>21934</v>
      </c>
      <c r="C134" s="11">
        <v>0.05</v>
      </c>
      <c r="E134" s="13" t="s">
        <v>8</v>
      </c>
      <c r="F134" s="13"/>
      <c r="J134" s="15"/>
    </row>
    <row r="135" spans="1:10" ht="12.75">
      <c r="A135" s="9">
        <f t="shared" si="2"/>
        <v>21965</v>
      </c>
      <c r="B135" s="10">
        <v>21965</v>
      </c>
      <c r="C135" s="11">
        <v>0.05</v>
      </c>
      <c r="E135" s="13" t="s">
        <v>8</v>
      </c>
      <c r="F135" s="13"/>
      <c r="J135" s="15"/>
    </row>
    <row r="136" spans="1:10" ht="12.75">
      <c r="A136" s="9">
        <f t="shared" si="2"/>
        <v>21994</v>
      </c>
      <c r="B136" s="10">
        <v>21994</v>
      </c>
      <c r="C136" s="11">
        <v>0.05</v>
      </c>
      <c r="E136" s="13" t="s">
        <v>8</v>
      </c>
      <c r="F136" s="13"/>
      <c r="J136" s="15"/>
    </row>
    <row r="137" spans="1:10" ht="12.75">
      <c r="A137" s="9">
        <f t="shared" si="2"/>
        <v>22025</v>
      </c>
      <c r="B137" s="10">
        <v>22025</v>
      </c>
      <c r="C137" s="11">
        <v>0.05</v>
      </c>
      <c r="E137" s="13" t="s">
        <v>8</v>
      </c>
      <c r="F137" s="13"/>
      <c r="J137" s="15"/>
    </row>
    <row r="138" spans="1:10" ht="12.75">
      <c r="A138" s="9">
        <f t="shared" si="2"/>
        <v>22055</v>
      </c>
      <c r="B138" s="10">
        <v>22055</v>
      </c>
      <c r="C138" s="11">
        <v>0.05</v>
      </c>
      <c r="E138" s="13" t="s">
        <v>8</v>
      </c>
      <c r="F138" s="13"/>
      <c r="J138" s="15"/>
    </row>
    <row r="139" spans="1:10" ht="12.75">
      <c r="A139" s="9">
        <f t="shared" si="2"/>
        <v>22086</v>
      </c>
      <c r="B139" s="10">
        <v>22086</v>
      </c>
      <c r="C139" s="11">
        <v>0.05</v>
      </c>
      <c r="E139" s="13" t="s">
        <v>8</v>
      </c>
      <c r="F139" s="13"/>
      <c r="J139" s="15"/>
    </row>
    <row r="140" spans="1:10" ht="12.75">
      <c r="A140" s="9">
        <f t="shared" si="2"/>
        <v>22116</v>
      </c>
      <c r="B140" s="10">
        <v>22116</v>
      </c>
      <c r="C140" s="11">
        <v>0.05</v>
      </c>
      <c r="E140" s="13" t="s">
        <v>8</v>
      </c>
      <c r="F140" s="13"/>
      <c r="J140" s="15"/>
    </row>
    <row r="141" spans="1:10" ht="12.75">
      <c r="A141" s="9">
        <f t="shared" si="2"/>
        <v>22147</v>
      </c>
      <c r="B141" s="10">
        <v>22147</v>
      </c>
      <c r="C141" s="11">
        <v>4.8499999999999995E-2</v>
      </c>
      <c r="E141" s="13" t="s">
        <v>8</v>
      </c>
      <c r="F141" s="13"/>
      <c r="J141" s="15"/>
    </row>
    <row r="142" spans="1:10" ht="12.75">
      <c r="A142" s="9">
        <f t="shared" si="2"/>
        <v>22178</v>
      </c>
      <c r="B142" s="10">
        <v>22178</v>
      </c>
      <c r="C142" s="11">
        <v>4.4999999999999998E-2</v>
      </c>
      <c r="E142" s="13" t="s">
        <v>8</v>
      </c>
      <c r="F142" s="13"/>
      <c r="J142" s="15"/>
    </row>
    <row r="143" spans="1:10" ht="12.75">
      <c r="A143" s="9">
        <f t="shared" si="2"/>
        <v>22208</v>
      </c>
      <c r="B143" s="10">
        <v>22208</v>
      </c>
      <c r="C143" s="11">
        <v>4.4999999999999998E-2</v>
      </c>
      <c r="E143" s="13" t="s">
        <v>8</v>
      </c>
      <c r="F143" s="13"/>
      <c r="J143" s="15"/>
    </row>
    <row r="144" spans="1:10" ht="12.75">
      <c r="A144" s="9">
        <f t="shared" si="2"/>
        <v>22239</v>
      </c>
      <c r="B144" s="10">
        <v>22239</v>
      </c>
      <c r="C144" s="11">
        <v>4.4999999999999998E-2</v>
      </c>
      <c r="E144" s="13" t="s">
        <v>8</v>
      </c>
      <c r="F144" s="13"/>
      <c r="J144" s="15"/>
    </row>
    <row r="145" spans="1:10" ht="12.75">
      <c r="A145" s="9">
        <f t="shared" si="2"/>
        <v>22269</v>
      </c>
      <c r="B145" s="10">
        <v>22269</v>
      </c>
      <c r="C145" s="11">
        <v>4.4999999999999998E-2</v>
      </c>
      <c r="E145" s="13" t="s">
        <v>8</v>
      </c>
      <c r="F145" s="13"/>
      <c r="J145" s="15"/>
    </row>
    <row r="146" spans="1:10" ht="12.75">
      <c r="A146" s="9">
        <f t="shared" si="2"/>
        <v>22300</v>
      </c>
      <c r="B146" s="10">
        <v>22300</v>
      </c>
      <c r="C146" s="11">
        <v>4.4999999999999998E-2</v>
      </c>
      <c r="E146" s="13" t="s">
        <v>8</v>
      </c>
      <c r="F146" s="13"/>
      <c r="J146" s="15"/>
    </row>
    <row r="147" spans="1:10" ht="12.75">
      <c r="A147" s="9">
        <f t="shared" si="2"/>
        <v>22331</v>
      </c>
      <c r="B147" s="10">
        <v>22331</v>
      </c>
      <c r="C147" s="11">
        <v>4.4999999999999998E-2</v>
      </c>
      <c r="E147" s="13" t="s">
        <v>8</v>
      </c>
      <c r="F147" s="13"/>
      <c r="J147" s="15"/>
    </row>
    <row r="148" spans="1:10" ht="12.75">
      <c r="A148" s="9">
        <f t="shared" si="2"/>
        <v>22359</v>
      </c>
      <c r="B148" s="10">
        <v>22359</v>
      </c>
      <c r="C148" s="11">
        <v>4.4999999999999998E-2</v>
      </c>
      <c r="E148" s="13" t="s">
        <v>8</v>
      </c>
      <c r="F148" s="13"/>
      <c r="J148" s="15"/>
    </row>
    <row r="149" spans="1:10" ht="12.75">
      <c r="A149" s="9">
        <f t="shared" si="2"/>
        <v>22390</v>
      </c>
      <c r="B149" s="10">
        <v>22390</v>
      </c>
      <c r="C149" s="11">
        <v>4.4999999999999998E-2</v>
      </c>
      <c r="E149" s="13" t="s">
        <v>8</v>
      </c>
      <c r="F149" s="13"/>
      <c r="J149" s="15"/>
    </row>
    <row r="150" spans="1:10" ht="12.75">
      <c r="A150" s="9">
        <f t="shared" si="2"/>
        <v>22420</v>
      </c>
      <c r="B150" s="10">
        <v>22420</v>
      </c>
      <c r="C150" s="11">
        <v>4.4999999999999998E-2</v>
      </c>
      <c r="E150" s="13" t="s">
        <v>8</v>
      </c>
      <c r="F150" s="13"/>
      <c r="J150" s="15"/>
    </row>
    <row r="151" spans="1:10" ht="12.75">
      <c r="A151" s="9">
        <f t="shared" si="2"/>
        <v>22451</v>
      </c>
      <c r="B151" s="10">
        <v>22451</v>
      </c>
      <c r="C151" s="11">
        <v>4.4999999999999998E-2</v>
      </c>
      <c r="E151" s="13" t="s">
        <v>8</v>
      </c>
      <c r="F151" s="13"/>
      <c r="J151" s="15"/>
    </row>
    <row r="152" spans="1:10" ht="12.75">
      <c r="A152" s="9">
        <f t="shared" si="2"/>
        <v>22481</v>
      </c>
      <c r="B152" s="10">
        <v>22481</v>
      </c>
      <c r="C152" s="11">
        <v>4.4999999999999998E-2</v>
      </c>
      <c r="E152" s="13" t="s">
        <v>8</v>
      </c>
      <c r="F152" s="13"/>
      <c r="J152" s="15"/>
    </row>
    <row r="153" spans="1:10" ht="12.75">
      <c r="A153" s="9">
        <f t="shared" si="2"/>
        <v>22512</v>
      </c>
      <c r="B153" s="10">
        <v>22512</v>
      </c>
      <c r="C153" s="11">
        <v>4.4999999999999998E-2</v>
      </c>
      <c r="E153" s="13" t="s">
        <v>8</v>
      </c>
      <c r="F153" s="13"/>
      <c r="J153" s="15"/>
    </row>
    <row r="154" spans="1:10" ht="12.75">
      <c r="A154" s="9">
        <f t="shared" si="2"/>
        <v>22543</v>
      </c>
      <c r="B154" s="10">
        <v>22543</v>
      </c>
      <c r="C154" s="11">
        <v>4.4999999999999998E-2</v>
      </c>
      <c r="E154" s="13" t="s">
        <v>8</v>
      </c>
      <c r="F154" s="13"/>
      <c r="J154" s="15"/>
    </row>
    <row r="155" spans="1:10" ht="12.75">
      <c r="A155" s="9">
        <f t="shared" si="2"/>
        <v>22573</v>
      </c>
      <c r="B155" s="10">
        <v>22573</v>
      </c>
      <c r="C155" s="11">
        <v>4.4999999999999998E-2</v>
      </c>
      <c r="E155" s="13" t="s">
        <v>8</v>
      </c>
      <c r="F155" s="13"/>
      <c r="J155" s="15"/>
    </row>
    <row r="156" spans="1:10" ht="12.75">
      <c r="A156" s="9">
        <f t="shared" si="2"/>
        <v>22604</v>
      </c>
      <c r="B156" s="10">
        <v>22604</v>
      </c>
      <c r="C156" s="11">
        <v>4.4999999999999998E-2</v>
      </c>
      <c r="E156" s="13" t="s">
        <v>8</v>
      </c>
      <c r="F156" s="13"/>
      <c r="J156" s="15"/>
    </row>
    <row r="157" spans="1:10" ht="12.75">
      <c r="A157" s="9">
        <f t="shared" si="2"/>
        <v>22634</v>
      </c>
      <c r="B157" s="10">
        <v>22634</v>
      </c>
      <c r="C157" s="11">
        <v>4.4999999999999998E-2</v>
      </c>
      <c r="E157" s="13" t="s">
        <v>8</v>
      </c>
      <c r="F157" s="13"/>
      <c r="J157" s="15"/>
    </row>
    <row r="158" spans="1:10" ht="12.75">
      <c r="A158" s="9">
        <f t="shared" si="2"/>
        <v>22665</v>
      </c>
      <c r="B158" s="10">
        <v>22665</v>
      </c>
      <c r="C158" s="11">
        <v>4.4999999999999998E-2</v>
      </c>
      <c r="E158" s="13" t="s">
        <v>8</v>
      </c>
      <c r="F158" s="13"/>
      <c r="J158" s="15"/>
    </row>
    <row r="159" spans="1:10" ht="12.75">
      <c r="A159" s="9">
        <f t="shared" si="2"/>
        <v>22696</v>
      </c>
      <c r="B159" s="10">
        <v>22696</v>
      </c>
      <c r="C159" s="11">
        <v>4.4999999999999998E-2</v>
      </c>
      <c r="E159" s="13" t="s">
        <v>8</v>
      </c>
      <c r="F159" s="13"/>
      <c r="J159" s="15"/>
    </row>
    <row r="160" spans="1:10" ht="12.75">
      <c r="A160" s="9">
        <f t="shared" si="2"/>
        <v>22724</v>
      </c>
      <c r="B160" s="10">
        <v>22724</v>
      </c>
      <c r="C160" s="11">
        <v>4.4999999999999998E-2</v>
      </c>
      <c r="E160" s="13" t="s">
        <v>8</v>
      </c>
      <c r="F160" s="13"/>
      <c r="J160" s="15"/>
    </row>
    <row r="161" spans="1:10" ht="12.75">
      <c r="A161" s="9">
        <f t="shared" si="2"/>
        <v>22755</v>
      </c>
      <c r="B161" s="10">
        <v>22755</v>
      </c>
      <c r="C161" s="11">
        <v>4.4999999999999998E-2</v>
      </c>
      <c r="E161" s="13" t="s">
        <v>8</v>
      </c>
      <c r="F161" s="13"/>
      <c r="J161" s="15"/>
    </row>
    <row r="162" spans="1:10" ht="12.75">
      <c r="A162" s="9">
        <f t="shared" si="2"/>
        <v>22785</v>
      </c>
      <c r="B162" s="10">
        <v>22785</v>
      </c>
      <c r="C162" s="11">
        <v>4.4999999999999998E-2</v>
      </c>
      <c r="E162" s="13" t="s">
        <v>8</v>
      </c>
      <c r="F162" s="13"/>
      <c r="J162" s="15"/>
    </row>
    <row r="163" spans="1:10" ht="12.75">
      <c r="A163" s="9">
        <f t="shared" si="2"/>
        <v>22816</v>
      </c>
      <c r="B163" s="10">
        <v>22816</v>
      </c>
      <c r="C163" s="11">
        <v>4.4999999999999998E-2</v>
      </c>
      <c r="E163" s="13" t="s">
        <v>8</v>
      </c>
      <c r="F163" s="13"/>
      <c r="J163" s="15"/>
    </row>
    <row r="164" spans="1:10" ht="12.75">
      <c r="A164" s="9">
        <f t="shared" si="2"/>
        <v>22846</v>
      </c>
      <c r="B164" s="10">
        <v>22846</v>
      </c>
      <c r="C164" s="11">
        <v>4.4999999999999998E-2</v>
      </c>
      <c r="E164" s="13" t="s">
        <v>8</v>
      </c>
      <c r="F164" s="13"/>
      <c r="J164" s="15"/>
    </row>
    <row r="165" spans="1:10" ht="12.75">
      <c r="A165" s="9">
        <f t="shared" si="2"/>
        <v>22877</v>
      </c>
      <c r="B165" s="10">
        <v>22877</v>
      </c>
      <c r="C165" s="11">
        <v>4.4999999999999998E-2</v>
      </c>
      <c r="E165" s="13" t="s">
        <v>8</v>
      </c>
      <c r="F165" s="13"/>
      <c r="J165" s="15"/>
    </row>
    <row r="166" spans="1:10" ht="12.75">
      <c r="A166" s="9">
        <f t="shared" si="2"/>
        <v>22908</v>
      </c>
      <c r="B166" s="10">
        <v>22908</v>
      </c>
      <c r="C166" s="11">
        <v>4.4999999999999998E-2</v>
      </c>
      <c r="E166" s="13" t="s">
        <v>8</v>
      </c>
      <c r="F166" s="13"/>
      <c r="J166" s="15"/>
    </row>
    <row r="167" spans="1:10" ht="12.75">
      <c r="A167" s="9">
        <f t="shared" si="2"/>
        <v>22938</v>
      </c>
      <c r="B167" s="10">
        <v>22938</v>
      </c>
      <c r="C167" s="11">
        <v>4.4999999999999998E-2</v>
      </c>
      <c r="E167" s="13" t="s">
        <v>8</v>
      </c>
      <c r="F167" s="13"/>
      <c r="J167" s="15"/>
    </row>
    <row r="168" spans="1:10" ht="12.75">
      <c r="A168" s="9">
        <f t="shared" si="2"/>
        <v>22969</v>
      </c>
      <c r="B168" s="10">
        <v>22969</v>
      </c>
      <c r="C168" s="11">
        <v>4.4999999999999998E-2</v>
      </c>
      <c r="E168" s="13" t="s">
        <v>8</v>
      </c>
      <c r="F168" s="13"/>
      <c r="J168" s="15"/>
    </row>
    <row r="169" spans="1:10" ht="12.75">
      <c r="A169" s="9">
        <f t="shared" si="2"/>
        <v>22999</v>
      </c>
      <c r="B169" s="10">
        <v>22999</v>
      </c>
      <c r="C169" s="11">
        <v>4.4999999999999998E-2</v>
      </c>
      <c r="E169" s="13" t="s">
        <v>8</v>
      </c>
      <c r="F169" s="13"/>
      <c r="J169" s="15"/>
    </row>
    <row r="170" spans="1:10" ht="12.75">
      <c r="A170" s="9">
        <f t="shared" si="2"/>
        <v>23030</v>
      </c>
      <c r="B170" s="10">
        <v>23030</v>
      </c>
      <c r="C170" s="11">
        <v>4.4999999999999998E-2</v>
      </c>
      <c r="E170" s="13" t="s">
        <v>8</v>
      </c>
      <c r="F170" s="13"/>
      <c r="J170" s="15"/>
    </row>
    <row r="171" spans="1:10" ht="12.75">
      <c r="A171" s="9">
        <f t="shared" si="2"/>
        <v>23061</v>
      </c>
      <c r="B171" s="10">
        <v>23061</v>
      </c>
      <c r="C171" s="11">
        <v>4.4999999999999998E-2</v>
      </c>
      <c r="E171" s="13" t="s">
        <v>8</v>
      </c>
      <c r="F171" s="13"/>
      <c r="J171" s="15"/>
    </row>
    <row r="172" spans="1:10" ht="12.75">
      <c r="A172" s="9">
        <f t="shared" si="2"/>
        <v>23089</v>
      </c>
      <c r="B172" s="10">
        <v>23089</v>
      </c>
      <c r="C172" s="11">
        <v>4.4999999999999998E-2</v>
      </c>
      <c r="E172" s="13" t="s">
        <v>8</v>
      </c>
      <c r="F172" s="13"/>
      <c r="J172" s="15"/>
    </row>
    <row r="173" spans="1:10" ht="12.75">
      <c r="A173" s="9">
        <f t="shared" si="2"/>
        <v>23120</v>
      </c>
      <c r="B173" s="10">
        <v>23120</v>
      </c>
      <c r="C173" s="11">
        <v>4.4999999999999998E-2</v>
      </c>
      <c r="E173" s="13" t="s">
        <v>8</v>
      </c>
      <c r="F173" s="13"/>
      <c r="J173" s="15"/>
    </row>
    <row r="174" spans="1:10" ht="12.75">
      <c r="A174" s="9">
        <f t="shared" si="2"/>
        <v>23150</v>
      </c>
      <c r="B174" s="10">
        <v>23150</v>
      </c>
      <c r="C174" s="11">
        <v>4.4999999999999998E-2</v>
      </c>
      <c r="E174" s="13" t="s">
        <v>8</v>
      </c>
      <c r="F174" s="13"/>
      <c r="J174" s="15"/>
    </row>
    <row r="175" spans="1:10" ht="12.75">
      <c r="A175" s="9">
        <f t="shared" si="2"/>
        <v>23181</v>
      </c>
      <c r="B175" s="10">
        <v>23181</v>
      </c>
      <c r="C175" s="11">
        <v>4.4999999999999998E-2</v>
      </c>
      <c r="E175" s="13" t="s">
        <v>8</v>
      </c>
      <c r="F175" s="13"/>
      <c r="J175" s="15"/>
    </row>
    <row r="176" spans="1:10" ht="12.75">
      <c r="A176" s="9">
        <f t="shared" si="2"/>
        <v>23211</v>
      </c>
      <c r="B176" s="10">
        <v>23211</v>
      </c>
      <c r="C176" s="11">
        <v>4.4999999999999998E-2</v>
      </c>
      <c r="E176" s="13" t="s">
        <v>8</v>
      </c>
      <c r="F176" s="13"/>
      <c r="J176" s="15"/>
    </row>
    <row r="177" spans="1:10" ht="12.75">
      <c r="A177" s="9">
        <f t="shared" si="2"/>
        <v>23242</v>
      </c>
      <c r="B177" s="10">
        <v>23242</v>
      </c>
      <c r="C177" s="11">
        <v>4.4999999999999998E-2</v>
      </c>
      <c r="E177" s="13" t="s">
        <v>8</v>
      </c>
      <c r="F177" s="13"/>
      <c r="J177" s="15"/>
    </row>
    <row r="178" spans="1:10" ht="12.75">
      <c r="A178" s="9">
        <f t="shared" si="2"/>
        <v>23273</v>
      </c>
      <c r="B178" s="10">
        <v>23273</v>
      </c>
      <c r="C178" s="11">
        <v>4.4999999999999998E-2</v>
      </c>
      <c r="E178" s="13" t="s">
        <v>8</v>
      </c>
      <c r="F178" s="13"/>
      <c r="J178" s="15"/>
    </row>
    <row r="179" spans="1:10" ht="12.75">
      <c r="A179" s="9">
        <f t="shared" si="2"/>
        <v>23303</v>
      </c>
      <c r="B179" s="10">
        <v>23303</v>
      </c>
      <c r="C179" s="11">
        <v>4.4999999999999998E-2</v>
      </c>
      <c r="E179" s="13" t="s">
        <v>8</v>
      </c>
      <c r="F179" s="13"/>
      <c r="J179" s="15"/>
    </row>
    <row r="180" spans="1:10" ht="12.75">
      <c r="A180" s="9">
        <f t="shared" si="2"/>
        <v>23334</v>
      </c>
      <c r="B180" s="10">
        <v>23334</v>
      </c>
      <c r="C180" s="11">
        <v>4.4999999999999998E-2</v>
      </c>
      <c r="E180" s="13" t="s">
        <v>8</v>
      </c>
      <c r="F180" s="13"/>
      <c r="J180" s="15"/>
    </row>
    <row r="181" spans="1:10" ht="12.75">
      <c r="A181" s="9">
        <f t="shared" si="2"/>
        <v>23364</v>
      </c>
      <c r="B181" s="10">
        <v>23364</v>
      </c>
      <c r="C181" s="11">
        <v>4.4999999999999998E-2</v>
      </c>
      <c r="E181" s="13" t="s">
        <v>8</v>
      </c>
      <c r="F181" s="13"/>
      <c r="J181" s="15"/>
    </row>
    <row r="182" spans="1:10" ht="12.75">
      <c r="A182" s="9">
        <f t="shared" si="2"/>
        <v>23395</v>
      </c>
      <c r="B182" s="10">
        <v>23395</v>
      </c>
      <c r="C182" s="11">
        <v>4.4999999999999998E-2</v>
      </c>
      <c r="E182" s="13" t="s">
        <v>8</v>
      </c>
      <c r="F182" s="13"/>
      <c r="J182" s="15"/>
    </row>
    <row r="183" spans="1:10" ht="12.75">
      <c r="A183" s="9">
        <f t="shared" si="2"/>
        <v>23426</v>
      </c>
      <c r="B183" s="10">
        <v>23426</v>
      </c>
      <c r="C183" s="11">
        <v>4.4999999999999998E-2</v>
      </c>
      <c r="E183" s="13" t="s">
        <v>8</v>
      </c>
      <c r="F183" s="13"/>
      <c r="J183" s="15"/>
    </row>
    <row r="184" spans="1:10" ht="12.75">
      <c r="A184" s="9">
        <f t="shared" si="2"/>
        <v>23455</v>
      </c>
      <c r="B184" s="10">
        <v>23455</v>
      </c>
      <c r="C184" s="11">
        <v>4.4999999999999998E-2</v>
      </c>
      <c r="E184" s="13" t="s">
        <v>8</v>
      </c>
      <c r="F184" s="13"/>
      <c r="J184" s="15"/>
    </row>
    <row r="185" spans="1:10" ht="12.75">
      <c r="A185" s="9">
        <f t="shared" si="2"/>
        <v>23486</v>
      </c>
      <c r="B185" s="10">
        <v>23486</v>
      </c>
      <c r="C185" s="11">
        <v>4.4999999999999998E-2</v>
      </c>
      <c r="E185" s="13" t="s">
        <v>8</v>
      </c>
      <c r="F185" s="13"/>
      <c r="J185" s="15"/>
    </row>
    <row r="186" spans="1:10" ht="12.75">
      <c r="A186" s="9">
        <f t="shared" si="2"/>
        <v>23516</v>
      </c>
      <c r="B186" s="10">
        <v>23516</v>
      </c>
      <c r="C186" s="11">
        <v>4.4999999999999998E-2</v>
      </c>
      <c r="E186" s="13" t="s">
        <v>8</v>
      </c>
      <c r="F186" s="13"/>
      <c r="J186" s="15"/>
    </row>
    <row r="187" spans="1:10" ht="12.75">
      <c r="A187" s="9">
        <f t="shared" si="2"/>
        <v>23547</v>
      </c>
      <c r="B187" s="10">
        <v>23547</v>
      </c>
      <c r="C187" s="11">
        <v>4.4999999999999998E-2</v>
      </c>
      <c r="E187" s="13" t="s">
        <v>8</v>
      </c>
      <c r="F187" s="13"/>
      <c r="J187" s="15"/>
    </row>
    <row r="188" spans="1:10" ht="12.75">
      <c r="A188" s="9">
        <f t="shared" si="2"/>
        <v>23577</v>
      </c>
      <c r="B188" s="10">
        <v>23577</v>
      </c>
      <c r="C188" s="11">
        <v>4.4999999999999998E-2</v>
      </c>
      <c r="E188" s="13" t="s">
        <v>8</v>
      </c>
      <c r="F188" s="13"/>
      <c r="J188" s="15"/>
    </row>
    <row r="189" spans="1:10" ht="12.75">
      <c r="A189" s="9">
        <f t="shared" si="2"/>
        <v>23608</v>
      </c>
      <c r="B189" s="10">
        <v>23608</v>
      </c>
      <c r="C189" s="11">
        <v>4.4999999999999998E-2</v>
      </c>
      <c r="E189" s="13" t="s">
        <v>8</v>
      </c>
      <c r="F189" s="13"/>
      <c r="J189" s="15"/>
    </row>
    <row r="190" spans="1:10" ht="12.75">
      <c r="A190" s="9">
        <f t="shared" si="2"/>
        <v>23639</v>
      </c>
      <c r="B190" s="10">
        <v>23639</v>
      </c>
      <c r="C190" s="11">
        <v>4.4999999999999998E-2</v>
      </c>
      <c r="E190" s="13" t="s">
        <v>8</v>
      </c>
      <c r="F190" s="13"/>
      <c r="J190" s="15"/>
    </row>
    <row r="191" spans="1:10" ht="12.75">
      <c r="A191" s="9">
        <f t="shared" si="2"/>
        <v>23669</v>
      </c>
      <c r="B191" s="10">
        <v>23669</v>
      </c>
      <c r="C191" s="11">
        <v>4.4999999999999998E-2</v>
      </c>
      <c r="E191" s="13" t="s">
        <v>8</v>
      </c>
      <c r="F191" s="13"/>
      <c r="J191" s="15"/>
    </row>
    <row r="192" spans="1:10" ht="12.75">
      <c r="A192" s="9">
        <f t="shared" si="2"/>
        <v>23700</v>
      </c>
      <c r="B192" s="10">
        <v>23700</v>
      </c>
      <c r="C192" s="11">
        <v>4.4999999999999998E-2</v>
      </c>
      <c r="E192" s="13" t="s">
        <v>8</v>
      </c>
      <c r="F192" s="13"/>
      <c r="J192" s="15"/>
    </row>
    <row r="193" spans="1:10" ht="12.75">
      <c r="A193" s="9">
        <f t="shared" si="2"/>
        <v>23730</v>
      </c>
      <c r="B193" s="10">
        <v>23730</v>
      </c>
      <c r="C193" s="11">
        <v>4.4999999999999998E-2</v>
      </c>
      <c r="E193" s="13" t="s">
        <v>8</v>
      </c>
      <c r="F193" s="13"/>
      <c r="J193" s="15"/>
    </row>
    <row r="194" spans="1:10" ht="12.75">
      <c r="A194" s="9">
        <f t="shared" si="2"/>
        <v>23761</v>
      </c>
      <c r="B194" s="10">
        <v>23761</v>
      </c>
      <c r="C194" s="11">
        <v>4.4999999999999998E-2</v>
      </c>
      <c r="E194" s="13" t="s">
        <v>8</v>
      </c>
      <c r="F194" s="13"/>
      <c r="J194" s="15"/>
    </row>
    <row r="195" spans="1:10" ht="12.75">
      <c r="A195" s="9">
        <f t="shared" ref="A195:A258" si="3">+B195</f>
        <v>23792</v>
      </c>
      <c r="B195" s="10">
        <v>23792</v>
      </c>
      <c r="C195" s="11">
        <v>4.4999999999999998E-2</v>
      </c>
      <c r="E195" s="13" t="s">
        <v>8</v>
      </c>
      <c r="F195" s="13"/>
      <c r="J195" s="15"/>
    </row>
    <row r="196" spans="1:10" ht="12.75">
      <c r="A196" s="9">
        <f t="shared" si="3"/>
        <v>23820</v>
      </c>
      <c r="B196" s="10">
        <v>23820</v>
      </c>
      <c r="C196" s="11">
        <v>4.4999999999999998E-2</v>
      </c>
      <c r="E196" s="13" t="s">
        <v>8</v>
      </c>
      <c r="F196" s="13"/>
      <c r="J196" s="15"/>
    </row>
    <row r="197" spans="1:10" ht="12.75">
      <c r="A197" s="9">
        <f t="shared" si="3"/>
        <v>23851</v>
      </c>
      <c r="B197" s="10">
        <v>23851</v>
      </c>
      <c r="C197" s="11">
        <v>4.4999999999999998E-2</v>
      </c>
      <c r="E197" s="13" t="s">
        <v>8</v>
      </c>
      <c r="F197" s="13"/>
      <c r="J197" s="15"/>
    </row>
    <row r="198" spans="1:10" ht="12.75">
      <c r="A198" s="9">
        <f t="shared" si="3"/>
        <v>23881</v>
      </c>
      <c r="B198" s="10">
        <v>23881</v>
      </c>
      <c r="C198" s="11">
        <v>4.4999999999999998E-2</v>
      </c>
      <c r="E198" s="13" t="s">
        <v>8</v>
      </c>
      <c r="F198" s="13"/>
      <c r="J198" s="15"/>
    </row>
    <row r="199" spans="1:10" ht="12.75">
      <c r="A199" s="9">
        <f t="shared" si="3"/>
        <v>23912</v>
      </c>
      <c r="B199" s="10">
        <v>23912</v>
      </c>
      <c r="C199" s="11">
        <v>4.4999999999999998E-2</v>
      </c>
      <c r="E199" s="13" t="s">
        <v>8</v>
      </c>
      <c r="F199" s="13"/>
      <c r="J199" s="15"/>
    </row>
    <row r="200" spans="1:10" ht="12.75">
      <c r="A200" s="9">
        <f t="shared" si="3"/>
        <v>23942</v>
      </c>
      <c r="B200" s="10">
        <v>23942</v>
      </c>
      <c r="C200" s="11">
        <v>4.4999999999999998E-2</v>
      </c>
      <c r="E200" s="13" t="s">
        <v>8</v>
      </c>
      <c r="F200" s="13"/>
      <c r="J200" s="15"/>
    </row>
    <row r="201" spans="1:10" ht="12.75">
      <c r="A201" s="9">
        <f t="shared" si="3"/>
        <v>23973</v>
      </c>
      <c r="B201" s="10">
        <v>23973</v>
      </c>
      <c r="C201" s="11">
        <v>4.4999999999999998E-2</v>
      </c>
      <c r="E201" s="13" t="s">
        <v>8</v>
      </c>
      <c r="F201" s="13"/>
      <c r="J201" s="15"/>
    </row>
    <row r="202" spans="1:10" ht="12.75">
      <c r="A202" s="9">
        <f t="shared" si="3"/>
        <v>24004</v>
      </c>
      <c r="B202" s="10">
        <v>24004</v>
      </c>
      <c r="C202" s="11">
        <v>4.4999999999999998E-2</v>
      </c>
      <c r="E202" s="13" t="s">
        <v>8</v>
      </c>
      <c r="F202" s="13"/>
      <c r="J202" s="15"/>
    </row>
    <row r="203" spans="1:10" ht="12.75">
      <c r="A203" s="9">
        <f t="shared" si="3"/>
        <v>24034</v>
      </c>
      <c r="B203" s="10">
        <v>24034</v>
      </c>
      <c r="C203" s="11">
        <v>4.4999999999999998E-2</v>
      </c>
      <c r="E203" s="13" t="s">
        <v>8</v>
      </c>
      <c r="F203" s="13"/>
      <c r="J203" s="15"/>
    </row>
    <row r="204" spans="1:10" ht="12.75">
      <c r="A204" s="9">
        <f t="shared" si="3"/>
        <v>24065</v>
      </c>
      <c r="B204" s="10">
        <v>24065</v>
      </c>
      <c r="C204" s="11">
        <v>4.4999999999999998E-2</v>
      </c>
      <c r="E204" s="13" t="s">
        <v>8</v>
      </c>
      <c r="F204" s="13"/>
      <c r="J204" s="15"/>
    </row>
    <row r="205" spans="1:10" ht="12.75">
      <c r="A205" s="9">
        <f t="shared" si="3"/>
        <v>24095</v>
      </c>
      <c r="B205" s="10">
        <v>24095</v>
      </c>
      <c r="C205" s="11">
        <v>4.9200000000000001E-2</v>
      </c>
      <c r="E205" s="13" t="s">
        <v>8</v>
      </c>
      <c r="F205" s="13"/>
      <c r="J205" s="15"/>
    </row>
    <row r="206" spans="1:10" ht="12.75">
      <c r="A206" s="9">
        <f t="shared" si="3"/>
        <v>24126</v>
      </c>
      <c r="B206" s="10">
        <v>24126</v>
      </c>
      <c r="C206" s="11">
        <v>0.05</v>
      </c>
      <c r="E206" s="13" t="s">
        <v>8</v>
      </c>
      <c r="F206" s="13"/>
      <c r="J206" s="15"/>
    </row>
    <row r="207" spans="1:10" ht="12.75">
      <c r="A207" s="9">
        <f t="shared" si="3"/>
        <v>24157</v>
      </c>
      <c r="B207" s="10">
        <v>24157</v>
      </c>
      <c r="C207" s="11">
        <v>0.05</v>
      </c>
      <c r="E207" s="13" t="s">
        <v>8</v>
      </c>
      <c r="F207" s="13"/>
      <c r="J207" s="15"/>
    </row>
    <row r="208" spans="1:10" ht="12.75">
      <c r="A208" s="9">
        <f t="shared" si="3"/>
        <v>24185</v>
      </c>
      <c r="B208" s="10">
        <v>24185</v>
      </c>
      <c r="C208" s="11">
        <v>5.3499999999999999E-2</v>
      </c>
      <c r="E208" s="13" t="s">
        <v>8</v>
      </c>
      <c r="F208" s="13"/>
      <c r="J208" s="15"/>
    </row>
    <row r="209" spans="1:10" ht="12.75">
      <c r="A209" s="9">
        <f t="shared" si="3"/>
        <v>24216</v>
      </c>
      <c r="B209" s="10">
        <v>24216</v>
      </c>
      <c r="C209" s="11">
        <v>5.5E-2</v>
      </c>
      <c r="E209" s="13" t="s">
        <v>8</v>
      </c>
      <c r="F209" s="13"/>
      <c r="J209" s="15"/>
    </row>
    <row r="210" spans="1:10" ht="12.75">
      <c r="A210" s="9">
        <f t="shared" si="3"/>
        <v>24246</v>
      </c>
      <c r="B210" s="10">
        <v>24246</v>
      </c>
      <c r="C210" s="11">
        <v>5.5E-2</v>
      </c>
      <c r="E210" s="13" t="s">
        <v>8</v>
      </c>
      <c r="F210" s="13"/>
      <c r="J210" s="15"/>
    </row>
    <row r="211" spans="1:10" ht="12.75">
      <c r="A211" s="9">
        <f t="shared" si="3"/>
        <v>24277</v>
      </c>
      <c r="B211" s="10">
        <v>24277</v>
      </c>
      <c r="C211" s="11">
        <v>5.5199999999999999E-2</v>
      </c>
      <c r="E211" s="13" t="s">
        <v>8</v>
      </c>
      <c r="F211" s="13"/>
      <c r="J211" s="15"/>
    </row>
    <row r="212" spans="1:10" ht="12.75">
      <c r="A212" s="9">
        <f t="shared" si="3"/>
        <v>24307</v>
      </c>
      <c r="B212" s="10">
        <v>24307</v>
      </c>
      <c r="C212" s="11">
        <v>5.7500000000000002E-2</v>
      </c>
      <c r="E212" s="13" t="s">
        <v>8</v>
      </c>
      <c r="F212" s="13"/>
      <c r="J212" s="15"/>
    </row>
    <row r="213" spans="1:10" ht="12.75">
      <c r="A213" s="9">
        <f t="shared" si="3"/>
        <v>24338</v>
      </c>
      <c r="B213" s="10">
        <v>24338</v>
      </c>
      <c r="C213" s="11">
        <v>5.8799999999999998E-2</v>
      </c>
      <c r="E213" s="13" t="s">
        <v>8</v>
      </c>
      <c r="F213" s="13"/>
      <c r="J213" s="15"/>
    </row>
    <row r="214" spans="1:10" ht="12.75">
      <c r="A214" s="9">
        <f t="shared" si="3"/>
        <v>24369</v>
      </c>
      <c r="B214" s="10">
        <v>24369</v>
      </c>
      <c r="C214" s="11">
        <v>0.06</v>
      </c>
      <c r="E214" s="13" t="s">
        <v>8</v>
      </c>
      <c r="F214" s="13"/>
      <c r="J214" s="15"/>
    </row>
    <row r="215" spans="1:10" ht="12.75">
      <c r="A215" s="9">
        <f t="shared" si="3"/>
        <v>24399</v>
      </c>
      <c r="B215" s="10">
        <v>24399</v>
      </c>
      <c r="C215" s="11">
        <v>0.06</v>
      </c>
      <c r="E215" s="13" t="s">
        <v>8</v>
      </c>
      <c r="F215" s="13"/>
      <c r="J215" s="15"/>
    </row>
    <row r="216" spans="1:10" ht="12.75">
      <c r="A216" s="9">
        <f t="shared" si="3"/>
        <v>24430</v>
      </c>
      <c r="B216" s="10">
        <v>24430</v>
      </c>
      <c r="C216" s="11">
        <v>0.06</v>
      </c>
      <c r="E216" s="13" t="s">
        <v>8</v>
      </c>
      <c r="F216" s="13"/>
      <c r="J216" s="15"/>
    </row>
    <row r="217" spans="1:10" ht="12.75">
      <c r="A217" s="9">
        <f t="shared" si="3"/>
        <v>24460</v>
      </c>
      <c r="B217" s="10">
        <v>24460</v>
      </c>
      <c r="C217" s="11">
        <v>0.06</v>
      </c>
      <c r="E217" s="13" t="s">
        <v>8</v>
      </c>
      <c r="F217" s="13"/>
      <c r="J217" s="15"/>
    </row>
    <row r="218" spans="1:10" ht="12.75">
      <c r="A218" s="9">
        <f t="shared" si="3"/>
        <v>24491</v>
      </c>
      <c r="B218" s="10">
        <v>24491</v>
      </c>
      <c r="C218" s="11">
        <v>5.96E-2</v>
      </c>
      <c r="E218" s="13" t="s">
        <v>8</v>
      </c>
      <c r="F218" s="13"/>
      <c r="J218" s="15"/>
    </row>
    <row r="219" spans="1:10" ht="12.75">
      <c r="A219" s="9">
        <f t="shared" si="3"/>
        <v>24522</v>
      </c>
      <c r="B219" s="10">
        <v>24522</v>
      </c>
      <c r="C219" s="11">
        <v>5.7500000000000002E-2</v>
      </c>
      <c r="E219" s="13" t="s">
        <v>8</v>
      </c>
      <c r="F219" s="13"/>
      <c r="J219" s="15"/>
    </row>
    <row r="220" spans="1:10" ht="12.75">
      <c r="A220" s="9">
        <f t="shared" si="3"/>
        <v>24550</v>
      </c>
      <c r="B220" s="10">
        <v>24550</v>
      </c>
      <c r="C220" s="11">
        <v>5.7099999999999998E-2</v>
      </c>
      <c r="E220" s="13" t="s">
        <v>8</v>
      </c>
      <c r="F220" s="13"/>
      <c r="J220" s="15"/>
    </row>
    <row r="221" spans="1:10" ht="12.75">
      <c r="A221" s="9">
        <f t="shared" si="3"/>
        <v>24581</v>
      </c>
      <c r="B221" s="10">
        <v>24581</v>
      </c>
      <c r="C221" s="11">
        <v>5.5E-2</v>
      </c>
      <c r="E221" s="13" t="s">
        <v>8</v>
      </c>
      <c r="F221" s="13"/>
      <c r="J221" s="15"/>
    </row>
    <row r="222" spans="1:10" ht="12.75">
      <c r="A222" s="9">
        <f t="shared" si="3"/>
        <v>24611</v>
      </c>
      <c r="B222" s="10">
        <v>24611</v>
      </c>
      <c r="C222" s="11">
        <v>5.5E-2</v>
      </c>
      <c r="E222" s="13" t="s">
        <v>8</v>
      </c>
      <c r="F222" s="13"/>
      <c r="J222" s="15"/>
    </row>
    <row r="223" spans="1:10" ht="12.75">
      <c r="A223" s="9">
        <f t="shared" si="3"/>
        <v>24642</v>
      </c>
      <c r="B223" s="10">
        <v>24642</v>
      </c>
      <c r="C223" s="11">
        <v>5.5E-2</v>
      </c>
      <c r="E223" s="13" t="s">
        <v>8</v>
      </c>
      <c r="F223" s="13"/>
      <c r="J223" s="15"/>
    </row>
    <row r="224" spans="1:10" ht="12.75">
      <c r="A224" s="9">
        <f t="shared" si="3"/>
        <v>24672</v>
      </c>
      <c r="B224" s="10">
        <v>24672</v>
      </c>
      <c r="C224" s="11">
        <v>5.5E-2</v>
      </c>
      <c r="E224" s="13" t="s">
        <v>8</v>
      </c>
      <c r="F224" s="13"/>
      <c r="J224" s="15"/>
    </row>
    <row r="225" spans="1:10" ht="12.75">
      <c r="A225" s="9">
        <f t="shared" si="3"/>
        <v>24703</v>
      </c>
      <c r="B225" s="10">
        <v>24703</v>
      </c>
      <c r="C225" s="11">
        <v>5.5E-2</v>
      </c>
      <c r="E225" s="13" t="s">
        <v>8</v>
      </c>
      <c r="F225" s="13"/>
      <c r="J225" s="15"/>
    </row>
    <row r="226" spans="1:10" ht="12.75">
      <c r="A226" s="9">
        <f t="shared" si="3"/>
        <v>24734</v>
      </c>
      <c r="B226" s="10">
        <v>24734</v>
      </c>
      <c r="C226" s="11">
        <v>5.5E-2</v>
      </c>
      <c r="E226" s="13" t="s">
        <v>8</v>
      </c>
      <c r="F226" s="13"/>
      <c r="J226" s="15"/>
    </row>
    <row r="227" spans="1:10" ht="12.75">
      <c r="A227" s="9">
        <f t="shared" si="3"/>
        <v>24764</v>
      </c>
      <c r="B227" s="10">
        <v>24764</v>
      </c>
      <c r="C227" s="11">
        <v>5.5E-2</v>
      </c>
      <c r="E227" s="13" t="s">
        <v>8</v>
      </c>
      <c r="F227" s="13"/>
      <c r="J227" s="15"/>
    </row>
    <row r="228" spans="1:10" ht="12.75">
      <c r="A228" s="9">
        <f t="shared" si="3"/>
        <v>24795</v>
      </c>
      <c r="B228" s="10">
        <v>24795</v>
      </c>
      <c r="C228" s="11">
        <v>5.6799999999999996E-2</v>
      </c>
      <c r="E228" s="13" t="s">
        <v>8</v>
      </c>
      <c r="F228" s="13"/>
      <c r="J228" s="15"/>
    </row>
    <row r="229" spans="1:10" ht="12.75">
      <c r="A229" s="9">
        <f t="shared" si="3"/>
        <v>24825</v>
      </c>
      <c r="B229" s="10">
        <v>24825</v>
      </c>
      <c r="C229" s="11">
        <v>0.06</v>
      </c>
      <c r="E229" s="13" t="s">
        <v>8</v>
      </c>
      <c r="F229" s="13"/>
      <c r="J229" s="15"/>
    </row>
    <row r="230" spans="1:10" ht="12.75">
      <c r="A230" s="9">
        <f t="shared" si="3"/>
        <v>24856</v>
      </c>
      <c r="B230" s="10">
        <v>24856</v>
      </c>
      <c r="C230" s="11">
        <v>0.06</v>
      </c>
      <c r="E230" s="13" t="s">
        <v>8</v>
      </c>
      <c r="F230" s="13"/>
      <c r="J230" s="15"/>
    </row>
    <row r="231" spans="1:10" ht="12.75">
      <c r="A231" s="9">
        <f t="shared" si="3"/>
        <v>24887</v>
      </c>
      <c r="B231" s="10">
        <v>24887</v>
      </c>
      <c r="C231" s="11">
        <v>0.06</v>
      </c>
      <c r="E231" s="13" t="s">
        <v>8</v>
      </c>
      <c r="F231" s="13"/>
      <c r="J231" s="15"/>
    </row>
    <row r="232" spans="1:10" ht="12.75">
      <c r="A232" s="9">
        <f t="shared" si="3"/>
        <v>24916</v>
      </c>
      <c r="B232" s="10">
        <v>24916</v>
      </c>
      <c r="C232" s="11">
        <v>0.06</v>
      </c>
      <c r="E232" s="13" t="s">
        <v>8</v>
      </c>
      <c r="F232" s="13"/>
      <c r="J232" s="15"/>
    </row>
    <row r="233" spans="1:10" ht="12.75">
      <c r="A233" s="9">
        <f t="shared" si="3"/>
        <v>24947</v>
      </c>
      <c r="B233" s="10">
        <v>24947</v>
      </c>
      <c r="C233" s="11">
        <v>6.2E-2</v>
      </c>
      <c r="E233" s="13" t="s">
        <v>8</v>
      </c>
      <c r="F233" s="13"/>
      <c r="J233" s="15"/>
    </row>
    <row r="234" spans="1:10" ht="12.75">
      <c r="A234" s="9">
        <f t="shared" si="3"/>
        <v>24977</v>
      </c>
      <c r="B234" s="10">
        <v>24977</v>
      </c>
      <c r="C234" s="11">
        <v>6.5000000000000002E-2</v>
      </c>
      <c r="E234" s="13" t="s">
        <v>8</v>
      </c>
      <c r="F234" s="13"/>
      <c r="J234" s="15"/>
    </row>
    <row r="235" spans="1:10" ht="12.75">
      <c r="A235" s="9">
        <f t="shared" si="3"/>
        <v>25008</v>
      </c>
      <c r="B235" s="10">
        <v>25008</v>
      </c>
      <c r="C235" s="11">
        <v>6.5000000000000002E-2</v>
      </c>
      <c r="E235" s="13" t="s">
        <v>8</v>
      </c>
      <c r="F235" s="13"/>
      <c r="J235" s="15"/>
    </row>
    <row r="236" spans="1:10" ht="12.75">
      <c r="A236" s="9">
        <f t="shared" si="3"/>
        <v>25038</v>
      </c>
      <c r="B236" s="10">
        <v>25038</v>
      </c>
      <c r="C236" s="11">
        <v>6.5000000000000002E-2</v>
      </c>
      <c r="E236" s="13" t="s">
        <v>8</v>
      </c>
      <c r="F236" s="13"/>
      <c r="J236" s="15"/>
    </row>
    <row r="237" spans="1:10" ht="12.75">
      <c r="A237" s="9">
        <f t="shared" si="3"/>
        <v>25069</v>
      </c>
      <c r="B237" s="10">
        <v>25069</v>
      </c>
      <c r="C237" s="11">
        <v>6.5000000000000002E-2</v>
      </c>
      <c r="E237" s="13" t="s">
        <v>8</v>
      </c>
      <c r="F237" s="13"/>
      <c r="J237" s="15"/>
    </row>
    <row r="238" spans="1:10" ht="12.75">
      <c r="A238" s="9">
        <f t="shared" si="3"/>
        <v>25100</v>
      </c>
      <c r="B238" s="10">
        <v>25100</v>
      </c>
      <c r="C238" s="11">
        <v>6.4500000000000002E-2</v>
      </c>
      <c r="E238" s="13" t="s">
        <v>8</v>
      </c>
      <c r="F238" s="13"/>
      <c r="J238" s="15"/>
    </row>
    <row r="239" spans="1:10" ht="12.75">
      <c r="A239" s="9">
        <f t="shared" si="3"/>
        <v>25130</v>
      </c>
      <c r="B239" s="10">
        <v>25130</v>
      </c>
      <c r="C239" s="11">
        <v>6.25E-2</v>
      </c>
      <c r="E239" s="13" t="s">
        <v>8</v>
      </c>
      <c r="F239" s="13"/>
      <c r="J239" s="15"/>
    </row>
    <row r="240" spans="1:10" ht="12.75">
      <c r="A240" s="9">
        <f t="shared" si="3"/>
        <v>25161</v>
      </c>
      <c r="B240" s="10">
        <v>25161</v>
      </c>
      <c r="C240" s="11">
        <v>6.25E-2</v>
      </c>
      <c r="E240" s="13" t="s">
        <v>8</v>
      </c>
      <c r="F240" s="13"/>
      <c r="J240" s="15"/>
    </row>
    <row r="241" spans="1:10" ht="12.75">
      <c r="A241" s="9">
        <f t="shared" si="3"/>
        <v>25191</v>
      </c>
      <c r="B241" s="10">
        <v>25191</v>
      </c>
      <c r="C241" s="11">
        <v>6.6000000000000003E-2</v>
      </c>
      <c r="E241" s="13" t="s">
        <v>8</v>
      </c>
      <c r="F241" s="13"/>
      <c r="J241" s="15"/>
    </row>
    <row r="242" spans="1:10" ht="12.75">
      <c r="A242" s="9">
        <f t="shared" si="3"/>
        <v>25222</v>
      </c>
      <c r="B242" s="10">
        <v>25222</v>
      </c>
      <c r="C242" s="11">
        <v>6.9500000000000006E-2</v>
      </c>
      <c r="E242" s="13" t="s">
        <v>8</v>
      </c>
      <c r="F242" s="13"/>
      <c r="J242" s="15"/>
    </row>
    <row r="243" spans="1:10" ht="12.75">
      <c r="A243" s="9">
        <f t="shared" si="3"/>
        <v>25253</v>
      </c>
      <c r="B243" s="10">
        <v>25253</v>
      </c>
      <c r="C243" s="11">
        <v>7.0000000000000007E-2</v>
      </c>
      <c r="E243" s="13" t="s">
        <v>8</v>
      </c>
      <c r="F243" s="13"/>
      <c r="J243" s="15"/>
    </row>
    <row r="244" spans="1:10" ht="12.75">
      <c r="A244" s="9">
        <f t="shared" si="3"/>
        <v>25281</v>
      </c>
      <c r="B244" s="10">
        <v>25281</v>
      </c>
      <c r="C244" s="11">
        <v>7.2400000000000006E-2</v>
      </c>
      <c r="E244" s="13" t="s">
        <v>8</v>
      </c>
      <c r="F244" s="13"/>
      <c r="J244" s="15"/>
    </row>
    <row r="245" spans="1:10" ht="12.75">
      <c r="A245" s="9">
        <f t="shared" si="3"/>
        <v>25312</v>
      </c>
      <c r="B245" s="10">
        <v>25312</v>
      </c>
      <c r="C245" s="11">
        <v>7.4999999999999997E-2</v>
      </c>
      <c r="E245" s="13" t="s">
        <v>8</v>
      </c>
      <c r="F245" s="13"/>
      <c r="J245" s="15"/>
    </row>
    <row r="246" spans="1:10" ht="12.75">
      <c r="A246" s="9">
        <f t="shared" si="3"/>
        <v>25342</v>
      </c>
      <c r="B246" s="10">
        <v>25342</v>
      </c>
      <c r="C246" s="11">
        <v>7.4999999999999997E-2</v>
      </c>
      <c r="E246" s="13" t="s">
        <v>8</v>
      </c>
      <c r="F246" s="13"/>
      <c r="J246" s="15"/>
    </row>
    <row r="247" spans="1:10" ht="12.75">
      <c r="A247" s="9">
        <f t="shared" si="3"/>
        <v>25373</v>
      </c>
      <c r="B247" s="10">
        <v>25373</v>
      </c>
      <c r="C247" s="11">
        <v>8.2299999999999998E-2</v>
      </c>
      <c r="E247" s="13" t="s">
        <v>8</v>
      </c>
      <c r="F247" s="13"/>
      <c r="J247" s="15"/>
    </row>
    <row r="248" spans="1:10" ht="12.75">
      <c r="A248" s="9">
        <f t="shared" si="3"/>
        <v>25403</v>
      </c>
      <c r="B248" s="10">
        <v>25403</v>
      </c>
      <c r="C248" s="11">
        <v>8.5000000000000006E-2</v>
      </c>
      <c r="E248" s="13" t="s">
        <v>8</v>
      </c>
      <c r="F248" s="13"/>
      <c r="J248" s="15"/>
    </row>
    <row r="249" spans="1:10" ht="12.75">
      <c r="A249" s="9">
        <f t="shared" si="3"/>
        <v>25434</v>
      </c>
      <c r="B249" s="10">
        <v>25434</v>
      </c>
      <c r="C249" s="11">
        <v>8.5000000000000006E-2</v>
      </c>
      <c r="E249" s="13" t="s">
        <v>8</v>
      </c>
      <c r="F249" s="13"/>
      <c r="J249" s="15"/>
    </row>
    <row r="250" spans="1:10" ht="12.75">
      <c r="A250" s="9">
        <f t="shared" si="3"/>
        <v>25465</v>
      </c>
      <c r="B250" s="10">
        <v>25465</v>
      </c>
      <c r="C250" s="11">
        <v>8.5000000000000006E-2</v>
      </c>
      <c r="E250" s="13" t="s">
        <v>8</v>
      </c>
      <c r="F250" s="13"/>
      <c r="J250" s="15"/>
    </row>
    <row r="251" spans="1:10" ht="12.75">
      <c r="A251" s="9">
        <f t="shared" si="3"/>
        <v>25495</v>
      </c>
      <c r="B251" s="10">
        <v>25495</v>
      </c>
      <c r="C251" s="11">
        <v>8.5000000000000006E-2</v>
      </c>
      <c r="E251" s="13" t="s">
        <v>8</v>
      </c>
      <c r="F251" s="13"/>
      <c r="J251" s="15"/>
    </row>
    <row r="252" spans="1:10" ht="12.75">
      <c r="A252" s="9">
        <f t="shared" si="3"/>
        <v>25526</v>
      </c>
      <c r="B252" s="10">
        <v>25526</v>
      </c>
      <c r="C252" s="11">
        <v>8.5000000000000006E-2</v>
      </c>
      <c r="E252" s="13" t="s">
        <v>8</v>
      </c>
      <c r="F252" s="13"/>
      <c r="J252" s="15"/>
    </row>
    <row r="253" spans="1:10" ht="12.75">
      <c r="A253" s="9">
        <f t="shared" si="3"/>
        <v>25556</v>
      </c>
      <c r="B253" s="10">
        <v>25556</v>
      </c>
      <c r="C253" s="11">
        <v>8.5000000000000006E-2</v>
      </c>
      <c r="E253" s="13" t="s">
        <v>8</v>
      </c>
      <c r="F253" s="13"/>
      <c r="J253" s="15"/>
    </row>
    <row r="254" spans="1:10" ht="12.75">
      <c r="A254" s="9">
        <f t="shared" si="3"/>
        <v>25587</v>
      </c>
      <c r="B254" s="10">
        <v>25587</v>
      </c>
      <c r="C254" s="11">
        <v>8.5000000000000006E-2</v>
      </c>
      <c r="E254" s="13" t="s">
        <v>8</v>
      </c>
      <c r="F254" s="13"/>
      <c r="J254" s="15"/>
    </row>
    <row r="255" spans="1:10" ht="12.75">
      <c r="A255" s="9">
        <f t="shared" si="3"/>
        <v>25618</v>
      </c>
      <c r="B255" s="10">
        <v>25618</v>
      </c>
      <c r="C255" s="11">
        <v>8.5000000000000006E-2</v>
      </c>
      <c r="E255" s="13" t="s">
        <v>8</v>
      </c>
      <c r="F255" s="13"/>
      <c r="J255" s="15"/>
    </row>
    <row r="256" spans="1:10" ht="12.75">
      <c r="A256" s="9">
        <f t="shared" si="3"/>
        <v>25646</v>
      </c>
      <c r="B256" s="10">
        <v>25646</v>
      </c>
      <c r="C256" s="11">
        <v>8.3900000000000002E-2</v>
      </c>
      <c r="E256" s="13" t="s">
        <v>8</v>
      </c>
      <c r="F256" s="13"/>
      <c r="J256" s="15"/>
    </row>
    <row r="257" spans="1:10" ht="12.75">
      <c r="A257" s="9">
        <f t="shared" si="3"/>
        <v>25677</v>
      </c>
      <c r="B257" s="10">
        <v>25677</v>
      </c>
      <c r="C257" s="11">
        <v>0.08</v>
      </c>
      <c r="E257" s="13" t="s">
        <v>8</v>
      </c>
      <c r="F257" s="13"/>
      <c r="J257" s="15"/>
    </row>
    <row r="258" spans="1:10" ht="12.75">
      <c r="A258" s="9">
        <f t="shared" si="3"/>
        <v>25707</v>
      </c>
      <c r="B258" s="10">
        <v>25707</v>
      </c>
      <c r="C258" s="11">
        <v>0.08</v>
      </c>
      <c r="E258" s="13" t="s">
        <v>8</v>
      </c>
      <c r="F258" s="13"/>
      <c r="J258" s="15"/>
    </row>
    <row r="259" spans="1:10" ht="12.75">
      <c r="A259" s="9">
        <f t="shared" ref="A259:A322" si="4">+B259</f>
        <v>25738</v>
      </c>
      <c r="B259" s="10">
        <v>25738</v>
      </c>
      <c r="C259" s="11">
        <v>0.08</v>
      </c>
      <c r="E259" s="13" t="s">
        <v>8</v>
      </c>
      <c r="F259" s="13"/>
      <c r="J259" s="15"/>
    </row>
    <row r="260" spans="1:10" ht="12.75">
      <c r="A260" s="9">
        <f t="shared" si="4"/>
        <v>25768</v>
      </c>
      <c r="B260" s="10">
        <v>25768</v>
      </c>
      <c r="C260" s="11">
        <v>0.08</v>
      </c>
      <c r="E260" s="13" t="s">
        <v>8</v>
      </c>
      <c r="F260" s="13"/>
      <c r="J260" s="15"/>
    </row>
    <row r="261" spans="1:10" ht="12.75">
      <c r="A261" s="9">
        <f t="shared" si="4"/>
        <v>25799</v>
      </c>
      <c r="B261" s="10">
        <v>25799</v>
      </c>
      <c r="C261" s="11">
        <v>0.08</v>
      </c>
      <c r="E261" s="13" t="s">
        <v>8</v>
      </c>
      <c r="F261" s="13"/>
      <c r="J261" s="15"/>
    </row>
    <row r="262" spans="1:10" ht="12.75">
      <c r="A262" s="9">
        <f t="shared" si="4"/>
        <v>25830</v>
      </c>
      <c r="B262" s="10">
        <v>25830</v>
      </c>
      <c r="C262" s="11">
        <v>7.8299999999999995E-2</v>
      </c>
      <c r="E262" s="13" t="s">
        <v>8</v>
      </c>
      <c r="F262" s="13"/>
      <c r="J262" s="15"/>
    </row>
    <row r="263" spans="1:10" ht="12.75">
      <c r="A263" s="9">
        <f t="shared" si="4"/>
        <v>25860</v>
      </c>
      <c r="B263" s="10">
        <v>25860</v>
      </c>
      <c r="C263" s="11">
        <v>7.4999999999999997E-2</v>
      </c>
      <c r="E263" s="13" t="s">
        <v>8</v>
      </c>
      <c r="F263" s="13"/>
      <c r="J263" s="15"/>
    </row>
    <row r="264" spans="1:10" ht="12.75">
      <c r="A264" s="9">
        <f t="shared" si="4"/>
        <v>25891</v>
      </c>
      <c r="B264" s="10">
        <v>25891</v>
      </c>
      <c r="C264" s="11">
        <v>7.2800000000000004E-2</v>
      </c>
      <c r="E264" s="13" t="s">
        <v>8</v>
      </c>
      <c r="F264" s="13"/>
      <c r="J264" s="15"/>
    </row>
    <row r="265" spans="1:10" ht="12.75">
      <c r="A265" s="9">
        <f t="shared" si="4"/>
        <v>25921</v>
      </c>
      <c r="B265" s="10">
        <v>25921</v>
      </c>
      <c r="C265" s="11">
        <v>6.9199999999999998E-2</v>
      </c>
      <c r="E265" s="13" t="s">
        <v>8</v>
      </c>
      <c r="F265" s="13"/>
      <c r="J265" s="15"/>
    </row>
    <row r="266" spans="1:10" ht="12.75">
      <c r="A266" s="9">
        <f t="shared" si="4"/>
        <v>25952</v>
      </c>
      <c r="B266" s="10">
        <v>25952</v>
      </c>
      <c r="C266" s="11">
        <v>6.2899999999999998E-2</v>
      </c>
      <c r="E266" s="13" t="s">
        <v>8</v>
      </c>
      <c r="F266" s="13"/>
      <c r="J266" s="15"/>
    </row>
    <row r="267" spans="1:10" ht="12.75">
      <c r="A267" s="9">
        <f t="shared" si="4"/>
        <v>25983</v>
      </c>
      <c r="B267" s="10">
        <v>25983</v>
      </c>
      <c r="C267" s="11">
        <v>5.8799999999999998E-2</v>
      </c>
      <c r="E267" s="13" t="s">
        <v>8</v>
      </c>
      <c r="F267" s="13"/>
      <c r="J267" s="15"/>
    </row>
    <row r="268" spans="1:10" ht="12.75">
      <c r="A268" s="9">
        <f t="shared" si="4"/>
        <v>26011</v>
      </c>
      <c r="B268" s="10">
        <v>26011</v>
      </c>
      <c r="C268" s="11">
        <v>5.4400000000000004E-2</v>
      </c>
      <c r="E268" s="13" t="s">
        <v>8</v>
      </c>
      <c r="F268" s="13"/>
      <c r="J268" s="15"/>
    </row>
    <row r="269" spans="1:10" ht="12.75">
      <c r="A269" s="9">
        <f t="shared" si="4"/>
        <v>26042</v>
      </c>
      <c r="B269" s="10">
        <v>26042</v>
      </c>
      <c r="C269" s="11">
        <v>5.28E-2</v>
      </c>
      <c r="E269" s="13" t="s">
        <v>8</v>
      </c>
      <c r="F269" s="13"/>
      <c r="J269" s="15"/>
    </row>
    <row r="270" spans="1:10" ht="12.75">
      <c r="A270" s="9">
        <f t="shared" si="4"/>
        <v>26072</v>
      </c>
      <c r="B270" s="10">
        <v>26072</v>
      </c>
      <c r="C270" s="11">
        <v>5.4600000000000003E-2</v>
      </c>
      <c r="E270" s="13" t="s">
        <v>8</v>
      </c>
      <c r="F270" s="13"/>
      <c r="J270" s="15"/>
    </row>
    <row r="271" spans="1:10" ht="12.75">
      <c r="A271" s="9">
        <f t="shared" si="4"/>
        <v>26103</v>
      </c>
      <c r="B271" s="10">
        <v>26103</v>
      </c>
      <c r="C271" s="11">
        <v>5.5E-2</v>
      </c>
      <c r="E271" s="13" t="s">
        <v>8</v>
      </c>
      <c r="F271" s="13"/>
      <c r="J271" s="15"/>
    </row>
    <row r="272" spans="1:10" ht="12.75">
      <c r="A272" s="9">
        <f t="shared" si="4"/>
        <v>26133</v>
      </c>
      <c r="B272" s="10">
        <v>26133</v>
      </c>
      <c r="C272" s="11">
        <v>5.91E-2</v>
      </c>
      <c r="E272" s="13" t="s">
        <v>8</v>
      </c>
      <c r="F272" s="13"/>
      <c r="J272" s="15"/>
    </row>
    <row r="273" spans="1:10" ht="12.75">
      <c r="A273" s="9">
        <f t="shared" si="4"/>
        <v>26164</v>
      </c>
      <c r="B273" s="10">
        <v>26164</v>
      </c>
      <c r="C273" s="11">
        <v>0.06</v>
      </c>
      <c r="E273" s="13" t="s">
        <v>8</v>
      </c>
      <c r="F273" s="13"/>
      <c r="J273" s="15"/>
    </row>
    <row r="274" spans="1:10" ht="12.75">
      <c r="A274" s="9">
        <f t="shared" si="4"/>
        <v>26195</v>
      </c>
      <c r="B274" s="10">
        <v>26195</v>
      </c>
      <c r="C274" s="11">
        <v>0.06</v>
      </c>
      <c r="E274" s="13" t="s">
        <v>8</v>
      </c>
      <c r="F274" s="13"/>
      <c r="J274" s="15"/>
    </row>
    <row r="275" spans="1:10" ht="12.75">
      <c r="A275" s="9">
        <f t="shared" si="4"/>
        <v>26225</v>
      </c>
      <c r="B275" s="10">
        <v>26225</v>
      </c>
      <c r="C275" s="11">
        <v>5.9000000000000004E-2</v>
      </c>
      <c r="E275" s="13" t="s">
        <v>8</v>
      </c>
      <c r="F275" s="13"/>
      <c r="J275" s="15"/>
    </row>
    <row r="276" spans="1:10" ht="12.75">
      <c r="A276" s="9">
        <f t="shared" si="4"/>
        <v>26256</v>
      </c>
      <c r="B276" s="10">
        <v>26256</v>
      </c>
      <c r="C276" s="11">
        <v>5.5300000000000002E-2</v>
      </c>
      <c r="E276" s="13" t="s">
        <v>8</v>
      </c>
      <c r="F276" s="13"/>
      <c r="J276" s="15"/>
    </row>
    <row r="277" spans="1:10" ht="12.75">
      <c r="A277" s="9">
        <f t="shared" si="4"/>
        <v>26286</v>
      </c>
      <c r="B277" s="10">
        <v>26286</v>
      </c>
      <c r="C277" s="11">
        <v>5.4900000000000004E-2</v>
      </c>
      <c r="E277" s="13" t="s">
        <v>8</v>
      </c>
      <c r="F277" s="13"/>
      <c r="J277" s="15"/>
    </row>
    <row r="278" spans="1:10" ht="12.75">
      <c r="A278" s="9">
        <f t="shared" si="4"/>
        <v>26317</v>
      </c>
      <c r="B278" s="10">
        <v>26317</v>
      </c>
      <c r="C278" s="11">
        <v>5.1799999999999999E-2</v>
      </c>
      <c r="E278" s="13" t="s">
        <v>8</v>
      </c>
      <c r="F278" s="13"/>
      <c r="J278" s="15"/>
    </row>
    <row r="279" spans="1:10" ht="12.75">
      <c r="A279" s="9">
        <f t="shared" si="4"/>
        <v>26348</v>
      </c>
      <c r="B279" s="10">
        <v>26348</v>
      </c>
      <c r="C279" s="11">
        <v>4.7500000000000001E-2</v>
      </c>
      <c r="E279" s="13" t="s">
        <v>8</v>
      </c>
      <c r="F279" s="13"/>
      <c r="J279" s="15"/>
    </row>
    <row r="280" spans="1:10" ht="12.75">
      <c r="A280" s="9">
        <f t="shared" si="4"/>
        <v>26377</v>
      </c>
      <c r="B280" s="10">
        <v>26377</v>
      </c>
      <c r="C280" s="11">
        <v>4.7500000000000001E-2</v>
      </c>
      <c r="E280" s="13" t="s">
        <v>8</v>
      </c>
      <c r="F280" s="13"/>
      <c r="J280" s="15"/>
    </row>
    <row r="281" spans="1:10" ht="12.75">
      <c r="A281" s="9">
        <f t="shared" si="4"/>
        <v>26408</v>
      </c>
      <c r="B281" s="10">
        <v>26408</v>
      </c>
      <c r="C281" s="11">
        <v>4.9699999999999994E-2</v>
      </c>
      <c r="E281" s="13" t="s">
        <v>8</v>
      </c>
      <c r="F281" s="13"/>
      <c r="J281" s="15"/>
    </row>
    <row r="282" spans="1:10" ht="12.75">
      <c r="A282" s="9">
        <f t="shared" si="4"/>
        <v>26438</v>
      </c>
      <c r="B282" s="10">
        <v>26438</v>
      </c>
      <c r="C282" s="11">
        <v>0.05</v>
      </c>
      <c r="E282" s="13" t="s">
        <v>8</v>
      </c>
      <c r="F282" s="13"/>
      <c r="J282" s="15"/>
    </row>
    <row r="283" spans="1:10" ht="12.75">
      <c r="A283" s="9">
        <f t="shared" si="4"/>
        <v>26469</v>
      </c>
      <c r="B283" s="10">
        <v>26469</v>
      </c>
      <c r="C283" s="11">
        <v>5.04E-2</v>
      </c>
      <c r="E283" s="13" t="s">
        <v>8</v>
      </c>
      <c r="F283" s="13"/>
      <c r="J283" s="15"/>
    </row>
    <row r="284" spans="1:10" ht="12.75">
      <c r="A284" s="9">
        <f t="shared" si="4"/>
        <v>26499</v>
      </c>
      <c r="B284" s="10">
        <v>26499</v>
      </c>
      <c r="C284" s="11">
        <v>5.2499999999999998E-2</v>
      </c>
      <c r="E284" s="13" t="s">
        <v>8</v>
      </c>
      <c r="F284" s="13"/>
      <c r="J284" s="15"/>
    </row>
    <row r="285" spans="1:10" ht="12.75">
      <c r="A285" s="9">
        <f t="shared" si="4"/>
        <v>26530</v>
      </c>
      <c r="B285" s="10">
        <v>26530</v>
      </c>
      <c r="C285" s="11">
        <v>5.2699999999999997E-2</v>
      </c>
      <c r="E285" s="13" t="s">
        <v>8</v>
      </c>
      <c r="F285" s="13"/>
      <c r="J285" s="15"/>
    </row>
    <row r="286" spans="1:10" ht="12.75">
      <c r="A286" s="9">
        <f t="shared" si="4"/>
        <v>26561</v>
      </c>
      <c r="B286" s="10">
        <v>26561</v>
      </c>
      <c r="C286" s="11">
        <v>5.5E-2</v>
      </c>
      <c r="E286" s="13" t="s">
        <v>8</v>
      </c>
      <c r="F286" s="13"/>
      <c r="J286" s="15"/>
    </row>
    <row r="287" spans="1:10" ht="12.75">
      <c r="A287" s="9">
        <f t="shared" si="4"/>
        <v>26591</v>
      </c>
      <c r="B287" s="10">
        <v>26591</v>
      </c>
      <c r="C287" s="11">
        <v>5.7300000000000004E-2</v>
      </c>
      <c r="E287" s="13" t="s">
        <v>8</v>
      </c>
      <c r="F287" s="13"/>
      <c r="J287" s="15"/>
    </row>
    <row r="288" spans="1:10" ht="12.75">
      <c r="A288" s="9">
        <f t="shared" si="4"/>
        <v>26622</v>
      </c>
      <c r="B288" s="10">
        <v>26622</v>
      </c>
      <c r="C288" s="11">
        <v>5.7500000000000002E-2</v>
      </c>
      <c r="E288" s="13" t="s">
        <v>8</v>
      </c>
      <c r="F288" s="13"/>
      <c r="J288" s="15"/>
    </row>
    <row r="289" spans="1:10" ht="12.75">
      <c r="A289" s="9">
        <f t="shared" si="4"/>
        <v>26652</v>
      </c>
      <c r="B289" s="10">
        <v>26652</v>
      </c>
      <c r="C289" s="11">
        <v>5.79E-2</v>
      </c>
      <c r="E289" s="13" t="s">
        <v>8</v>
      </c>
      <c r="F289" s="13"/>
      <c r="J289" s="15"/>
    </row>
    <row r="290" spans="1:10" ht="12.75">
      <c r="A290" s="9">
        <f t="shared" si="4"/>
        <v>26683</v>
      </c>
      <c r="B290" s="10">
        <v>26683</v>
      </c>
      <c r="C290" s="11">
        <v>0.06</v>
      </c>
      <c r="E290" s="13" t="s">
        <v>8</v>
      </c>
      <c r="F290" s="13"/>
      <c r="J290" s="15"/>
    </row>
    <row r="291" spans="1:10" ht="12.75">
      <c r="A291" s="9">
        <f t="shared" si="4"/>
        <v>26714</v>
      </c>
      <c r="B291" s="10">
        <v>26714</v>
      </c>
      <c r="C291" s="11">
        <v>6.0199999999999997E-2</v>
      </c>
      <c r="E291" s="13" t="s">
        <v>8</v>
      </c>
      <c r="F291" s="13"/>
      <c r="J291" s="15"/>
    </row>
    <row r="292" spans="1:10" ht="12.75">
      <c r="A292" s="9">
        <f t="shared" si="4"/>
        <v>26742</v>
      </c>
      <c r="B292" s="10">
        <v>26742</v>
      </c>
      <c r="C292" s="11">
        <v>6.3E-2</v>
      </c>
      <c r="E292" s="13" t="s">
        <v>8</v>
      </c>
      <c r="F292" s="13"/>
      <c r="J292" s="15"/>
    </row>
    <row r="293" spans="1:10" ht="12.75">
      <c r="A293" s="9">
        <f t="shared" si="4"/>
        <v>26773</v>
      </c>
      <c r="B293" s="10">
        <v>26773</v>
      </c>
      <c r="C293" s="11">
        <v>6.6100000000000006E-2</v>
      </c>
      <c r="E293" s="13" t="s">
        <v>8</v>
      </c>
      <c r="F293" s="13"/>
      <c r="J293" s="15"/>
    </row>
    <row r="294" spans="1:10" ht="12.75">
      <c r="A294" s="9">
        <f t="shared" si="4"/>
        <v>26803</v>
      </c>
      <c r="B294" s="10">
        <v>26803</v>
      </c>
      <c r="C294" s="11">
        <v>7.0099999999999996E-2</v>
      </c>
      <c r="E294" s="13" t="s">
        <v>8</v>
      </c>
      <c r="F294" s="13"/>
      <c r="J294" s="15"/>
    </row>
    <row r="295" spans="1:10" ht="12.75">
      <c r="A295" s="9">
        <f t="shared" si="4"/>
        <v>26834</v>
      </c>
      <c r="B295" s="10">
        <v>26834</v>
      </c>
      <c r="C295" s="11">
        <v>7.4900000000000008E-2</v>
      </c>
      <c r="E295" s="13" t="s">
        <v>8</v>
      </c>
      <c r="F295" s="13"/>
      <c r="J295" s="15"/>
    </row>
    <row r="296" spans="1:10" ht="12.75">
      <c r="A296" s="9">
        <f t="shared" si="4"/>
        <v>26864</v>
      </c>
      <c r="B296" s="10">
        <v>26864</v>
      </c>
      <c r="C296" s="11">
        <v>8.3000000000000004E-2</v>
      </c>
      <c r="E296" s="13" t="s">
        <v>8</v>
      </c>
      <c r="F296" s="13"/>
      <c r="J296" s="15"/>
    </row>
    <row r="297" spans="1:10" ht="12.75">
      <c r="A297" s="9">
        <f t="shared" si="4"/>
        <v>26895</v>
      </c>
      <c r="B297" s="10">
        <v>26895</v>
      </c>
      <c r="C297" s="11">
        <v>9.2300000000000007E-2</v>
      </c>
      <c r="E297" s="13" t="s">
        <v>8</v>
      </c>
      <c r="F297" s="13"/>
      <c r="J297" s="15"/>
    </row>
    <row r="298" spans="1:10" ht="12.75">
      <c r="A298" s="9">
        <f t="shared" si="4"/>
        <v>26926</v>
      </c>
      <c r="B298" s="10">
        <v>26926</v>
      </c>
      <c r="C298" s="11">
        <v>9.8599999999999993E-2</v>
      </c>
      <c r="E298" s="13" t="s">
        <v>8</v>
      </c>
      <c r="F298" s="13"/>
      <c r="J298" s="15"/>
    </row>
    <row r="299" spans="1:10" ht="12.75">
      <c r="A299" s="9">
        <f t="shared" si="4"/>
        <v>26956</v>
      </c>
      <c r="B299" s="10">
        <v>26956</v>
      </c>
      <c r="C299" s="11">
        <v>9.9399999999999988E-2</v>
      </c>
      <c r="E299" s="13" t="s">
        <v>8</v>
      </c>
      <c r="F299" s="13"/>
      <c r="J299" s="15"/>
    </row>
    <row r="300" spans="1:10" ht="12.75">
      <c r="A300" s="9">
        <f t="shared" si="4"/>
        <v>26987</v>
      </c>
      <c r="B300" s="10">
        <v>26987</v>
      </c>
      <c r="C300" s="11">
        <v>9.7500000000000003E-2</v>
      </c>
      <c r="E300" s="13" t="s">
        <v>8</v>
      </c>
      <c r="F300" s="13"/>
      <c r="J300" s="15"/>
    </row>
    <row r="301" spans="1:10" ht="12.75">
      <c r="A301" s="9">
        <f t="shared" si="4"/>
        <v>27017</v>
      </c>
      <c r="B301" s="10">
        <v>27017</v>
      </c>
      <c r="C301" s="11">
        <v>9.7500000000000003E-2</v>
      </c>
      <c r="E301" s="13" t="s">
        <v>8</v>
      </c>
      <c r="F301" s="13"/>
      <c r="J301" s="15"/>
    </row>
    <row r="302" spans="1:10" ht="12.75">
      <c r="A302" s="9">
        <f t="shared" si="4"/>
        <v>27048</v>
      </c>
      <c r="B302" s="10">
        <v>27048</v>
      </c>
      <c r="C302" s="11">
        <v>9.7299999999999998E-2</v>
      </c>
      <c r="E302" s="13" t="s">
        <v>8</v>
      </c>
      <c r="F302" s="13"/>
      <c r="J302" s="15"/>
    </row>
    <row r="303" spans="1:10" ht="12.75">
      <c r="A303" s="9">
        <f t="shared" si="4"/>
        <v>27079</v>
      </c>
      <c r="B303" s="10">
        <v>27079</v>
      </c>
      <c r="C303" s="11">
        <v>9.2100000000000015E-2</v>
      </c>
      <c r="E303" s="13" t="s">
        <v>8</v>
      </c>
      <c r="F303" s="13"/>
      <c r="J303" s="15"/>
    </row>
    <row r="304" spans="1:10" ht="12.75">
      <c r="A304" s="9">
        <f t="shared" si="4"/>
        <v>27107</v>
      </c>
      <c r="B304" s="10">
        <v>27107</v>
      </c>
      <c r="C304" s="11">
        <v>8.8499999999999995E-2</v>
      </c>
      <c r="E304" s="13" t="s">
        <v>8</v>
      </c>
      <c r="F304" s="13"/>
      <c r="J304" s="15"/>
    </row>
    <row r="305" spans="1:10" ht="12.75">
      <c r="A305" s="9">
        <f t="shared" si="4"/>
        <v>27138</v>
      </c>
      <c r="B305" s="10">
        <v>27138</v>
      </c>
      <c r="C305" s="11">
        <v>0.1002</v>
      </c>
      <c r="E305" s="13" t="s">
        <v>8</v>
      </c>
      <c r="F305" s="13"/>
      <c r="J305" s="15"/>
    </row>
    <row r="306" spans="1:10" ht="12.75">
      <c r="A306" s="9">
        <f t="shared" si="4"/>
        <v>27168</v>
      </c>
      <c r="B306" s="10">
        <v>27168</v>
      </c>
      <c r="C306" s="11">
        <v>0.1125</v>
      </c>
      <c r="E306" s="13" t="s">
        <v>8</v>
      </c>
      <c r="F306" s="13"/>
      <c r="J306" s="15"/>
    </row>
    <row r="307" spans="1:10" ht="12.75">
      <c r="A307" s="9">
        <f t="shared" si="4"/>
        <v>27199</v>
      </c>
      <c r="B307" s="10">
        <v>27199</v>
      </c>
      <c r="C307" s="11">
        <v>0.11539999999999999</v>
      </c>
      <c r="E307" s="13" t="s">
        <v>8</v>
      </c>
      <c r="F307" s="13"/>
      <c r="J307" s="15"/>
    </row>
    <row r="308" spans="1:10" ht="12.75">
      <c r="A308" s="9">
        <f t="shared" si="4"/>
        <v>27229</v>
      </c>
      <c r="B308" s="10">
        <v>27229</v>
      </c>
      <c r="C308" s="11">
        <v>0.1197</v>
      </c>
      <c r="E308" s="13" t="s">
        <v>8</v>
      </c>
      <c r="F308" s="13"/>
      <c r="J308" s="15"/>
    </row>
    <row r="309" spans="1:10" ht="12.75">
      <c r="A309" s="9">
        <f t="shared" si="4"/>
        <v>27260</v>
      </c>
      <c r="B309" s="10">
        <v>27260</v>
      </c>
      <c r="C309" s="11">
        <v>0.12</v>
      </c>
      <c r="E309" s="13" t="s">
        <v>8</v>
      </c>
      <c r="F309" s="13"/>
      <c r="J309" s="15"/>
    </row>
    <row r="310" spans="1:10" ht="12.75">
      <c r="A310" s="9">
        <f t="shared" si="4"/>
        <v>27291</v>
      </c>
      <c r="B310" s="10">
        <v>27291</v>
      </c>
      <c r="C310" s="11">
        <v>0.12</v>
      </c>
      <c r="E310" s="13" t="s">
        <v>8</v>
      </c>
      <c r="F310" s="13"/>
      <c r="J310" s="15"/>
    </row>
    <row r="311" spans="1:10" ht="12.75">
      <c r="A311" s="9">
        <f t="shared" si="4"/>
        <v>27321</v>
      </c>
      <c r="B311" s="10">
        <v>27321</v>
      </c>
      <c r="C311" s="11">
        <v>0.1168</v>
      </c>
      <c r="E311" s="13" t="s">
        <v>8</v>
      </c>
      <c r="F311" s="13"/>
      <c r="J311" s="15"/>
    </row>
    <row r="312" spans="1:10" ht="12.75">
      <c r="A312" s="9">
        <f t="shared" si="4"/>
        <v>27352</v>
      </c>
      <c r="B312" s="10">
        <v>27352</v>
      </c>
      <c r="C312" s="11">
        <v>0.10830000000000001</v>
      </c>
      <c r="E312" s="13" t="s">
        <v>8</v>
      </c>
      <c r="F312" s="13"/>
      <c r="J312" s="15"/>
    </row>
    <row r="313" spans="1:10" ht="12.75">
      <c r="A313" s="9">
        <f t="shared" si="4"/>
        <v>27382</v>
      </c>
      <c r="B313" s="10">
        <v>27382</v>
      </c>
      <c r="C313" s="11">
        <v>0.105</v>
      </c>
      <c r="E313" s="13" t="s">
        <v>8</v>
      </c>
      <c r="F313" s="13"/>
      <c r="J313" s="15"/>
    </row>
    <row r="314" spans="1:10" ht="12.75">
      <c r="A314" s="9">
        <f t="shared" si="4"/>
        <v>27413</v>
      </c>
      <c r="B314" s="10">
        <v>27413</v>
      </c>
      <c r="C314" s="11">
        <v>0.10050000000000001</v>
      </c>
      <c r="E314" s="13" t="s">
        <v>8</v>
      </c>
      <c r="F314" s="13"/>
      <c r="J314" s="15"/>
    </row>
    <row r="315" spans="1:10" ht="12.75">
      <c r="A315" s="9">
        <f t="shared" si="4"/>
        <v>27444</v>
      </c>
      <c r="B315" s="10">
        <v>27444</v>
      </c>
      <c r="C315" s="11">
        <v>8.9600000000000013E-2</v>
      </c>
      <c r="E315" s="13" t="s">
        <v>8</v>
      </c>
      <c r="F315" s="13"/>
      <c r="J315" s="15"/>
    </row>
    <row r="316" spans="1:10" ht="12.75">
      <c r="A316" s="9">
        <f t="shared" si="4"/>
        <v>27472</v>
      </c>
      <c r="B316" s="10">
        <v>27472</v>
      </c>
      <c r="C316" s="11">
        <v>7.9299999999999995E-2</v>
      </c>
      <c r="E316" s="13" t="s">
        <v>8</v>
      </c>
      <c r="F316" s="13"/>
      <c r="J316" s="15"/>
    </row>
    <row r="317" spans="1:10" ht="12.75">
      <c r="A317" s="9">
        <f t="shared" si="4"/>
        <v>27503</v>
      </c>
      <c r="B317" s="10">
        <v>27503</v>
      </c>
      <c r="C317" s="11">
        <v>7.4999999999999997E-2</v>
      </c>
      <c r="E317" s="13" t="s">
        <v>8</v>
      </c>
      <c r="F317" s="13"/>
      <c r="J317" s="15"/>
    </row>
    <row r="318" spans="1:10" ht="12.75">
      <c r="A318" s="9">
        <f t="shared" si="4"/>
        <v>27533</v>
      </c>
      <c r="B318" s="10">
        <v>27533</v>
      </c>
      <c r="C318" s="11">
        <v>7.400000000000001E-2</v>
      </c>
      <c r="E318" s="13" t="s">
        <v>8</v>
      </c>
      <c r="F318" s="13"/>
      <c r="J318" s="15"/>
    </row>
    <row r="319" spans="1:10" ht="12.75">
      <c r="A319" s="9">
        <f t="shared" si="4"/>
        <v>27564</v>
      </c>
      <c r="B319" s="10">
        <v>27564</v>
      </c>
      <c r="C319" s="11">
        <v>7.0699999999999999E-2</v>
      </c>
      <c r="E319" s="13" t="s">
        <v>8</v>
      </c>
      <c r="F319" s="13"/>
      <c r="J319" s="15"/>
    </row>
    <row r="320" spans="1:10" ht="12.75">
      <c r="A320" s="9">
        <f t="shared" si="4"/>
        <v>27594</v>
      </c>
      <c r="B320" s="10">
        <v>27594</v>
      </c>
      <c r="C320" s="11">
        <v>7.1500000000000008E-2</v>
      </c>
      <c r="E320" s="13" t="s">
        <v>8</v>
      </c>
      <c r="F320" s="13"/>
      <c r="J320" s="15"/>
    </row>
    <row r="321" spans="1:10" ht="12.75">
      <c r="A321" s="9">
        <f t="shared" si="4"/>
        <v>27625</v>
      </c>
      <c r="B321" s="10">
        <v>27625</v>
      </c>
      <c r="C321" s="11">
        <v>7.6600000000000001E-2</v>
      </c>
      <c r="E321" s="13" t="s">
        <v>8</v>
      </c>
      <c r="F321" s="13"/>
      <c r="J321" s="15"/>
    </row>
    <row r="322" spans="1:10" ht="12.75">
      <c r="A322" s="9">
        <f t="shared" si="4"/>
        <v>27656</v>
      </c>
      <c r="B322" s="10">
        <v>27656</v>
      </c>
      <c r="C322" s="11">
        <v>7.8799999999999995E-2</v>
      </c>
      <c r="E322" s="13" t="s">
        <v>8</v>
      </c>
      <c r="F322" s="13"/>
      <c r="J322" s="15"/>
    </row>
    <row r="323" spans="1:10" ht="12.75">
      <c r="A323" s="9">
        <f t="shared" ref="A323:A386" si="5">+B323</f>
        <v>27686</v>
      </c>
      <c r="B323" s="10">
        <v>27686</v>
      </c>
      <c r="C323" s="11">
        <v>7.9600000000000004E-2</v>
      </c>
      <c r="E323" s="13" t="s">
        <v>8</v>
      </c>
      <c r="F323" s="13"/>
      <c r="J323" s="15"/>
    </row>
    <row r="324" spans="1:10" ht="12.75">
      <c r="A324" s="9">
        <f t="shared" si="5"/>
        <v>27717</v>
      </c>
      <c r="B324" s="10">
        <v>27717</v>
      </c>
      <c r="C324" s="11">
        <v>7.5300000000000006E-2</v>
      </c>
      <c r="E324" s="13" t="s">
        <v>8</v>
      </c>
      <c r="F324" s="13"/>
      <c r="J324" s="15"/>
    </row>
    <row r="325" spans="1:10" ht="12.75">
      <c r="A325" s="9">
        <f t="shared" si="5"/>
        <v>27747</v>
      </c>
      <c r="B325" s="10">
        <v>27747</v>
      </c>
      <c r="C325" s="11">
        <v>7.2599999999999998E-2</v>
      </c>
      <c r="E325" s="13" t="s">
        <v>8</v>
      </c>
      <c r="F325" s="13"/>
      <c r="J325" s="15"/>
    </row>
    <row r="326" spans="1:10" ht="12.75">
      <c r="A326" s="9">
        <f t="shared" si="5"/>
        <v>27778</v>
      </c>
      <c r="B326" s="10">
        <v>27778</v>
      </c>
      <c r="C326" s="11">
        <v>7.0000000000000007E-2</v>
      </c>
      <c r="E326" s="13" t="s">
        <v>8</v>
      </c>
      <c r="F326" s="13"/>
      <c r="J326" s="15"/>
    </row>
    <row r="327" spans="1:10" ht="12.75">
      <c r="A327" s="9">
        <f t="shared" si="5"/>
        <v>27809</v>
      </c>
      <c r="B327" s="10">
        <v>27809</v>
      </c>
      <c r="C327" s="11">
        <v>6.7500000000000004E-2</v>
      </c>
      <c r="E327" s="13" t="s">
        <v>8</v>
      </c>
      <c r="F327" s="13"/>
      <c r="J327" s="15"/>
    </row>
    <row r="328" spans="1:10" ht="12.75">
      <c r="A328" s="9">
        <f t="shared" si="5"/>
        <v>27838</v>
      </c>
      <c r="B328" s="10">
        <v>27838</v>
      </c>
      <c r="C328" s="11">
        <v>6.7500000000000004E-2</v>
      </c>
      <c r="E328" s="13" t="s">
        <v>8</v>
      </c>
      <c r="F328" s="13"/>
      <c r="J328" s="15"/>
    </row>
    <row r="329" spans="1:10" ht="12.75">
      <c r="A329" s="9">
        <f t="shared" si="5"/>
        <v>27869</v>
      </c>
      <c r="B329" s="10">
        <v>27869</v>
      </c>
      <c r="C329" s="11">
        <v>6.7500000000000004E-2</v>
      </c>
      <c r="E329" s="13" t="s">
        <v>8</v>
      </c>
      <c r="F329" s="13"/>
      <c r="J329" s="15"/>
    </row>
    <row r="330" spans="1:10" ht="12.75">
      <c r="A330" s="9">
        <f t="shared" si="5"/>
        <v>27899</v>
      </c>
      <c r="B330" s="10">
        <v>27899</v>
      </c>
      <c r="C330" s="11">
        <v>6.7500000000000004E-2</v>
      </c>
      <c r="E330" s="13" t="s">
        <v>8</v>
      </c>
      <c r="F330" s="13"/>
      <c r="J330" s="15"/>
    </row>
    <row r="331" spans="1:10" ht="12.75">
      <c r="A331" s="9">
        <f t="shared" si="5"/>
        <v>27930</v>
      </c>
      <c r="B331" s="10">
        <v>27930</v>
      </c>
      <c r="C331" s="11">
        <v>7.2000000000000008E-2</v>
      </c>
      <c r="E331" s="13" t="s">
        <v>8</v>
      </c>
      <c r="F331" s="13"/>
      <c r="J331" s="15"/>
    </row>
    <row r="332" spans="1:10" ht="12.75">
      <c r="A332" s="9">
        <f t="shared" si="5"/>
        <v>27960</v>
      </c>
      <c r="B332" s="10">
        <v>27960</v>
      </c>
      <c r="C332" s="11">
        <v>7.2499999999999995E-2</v>
      </c>
      <c r="E332" s="13" t="s">
        <v>8</v>
      </c>
      <c r="F332" s="13"/>
      <c r="J332" s="15"/>
    </row>
    <row r="333" spans="1:10" ht="12.75">
      <c r="A333" s="9">
        <f t="shared" si="5"/>
        <v>27991</v>
      </c>
      <c r="B333" s="10">
        <v>27991</v>
      </c>
      <c r="C333" s="11">
        <v>7.0099999999999996E-2</v>
      </c>
      <c r="E333" s="13" t="s">
        <v>8</v>
      </c>
      <c r="F333" s="13"/>
      <c r="J333" s="15"/>
    </row>
    <row r="334" spans="1:10" ht="12.75">
      <c r="A334" s="9">
        <f t="shared" si="5"/>
        <v>28022</v>
      </c>
      <c r="B334" s="10">
        <v>28022</v>
      </c>
      <c r="C334" s="11">
        <v>7.0000000000000007E-2</v>
      </c>
      <c r="E334" s="13" t="s">
        <v>8</v>
      </c>
      <c r="F334" s="13"/>
      <c r="J334" s="15"/>
    </row>
    <row r="335" spans="1:10" ht="12.75">
      <c r="A335" s="9">
        <f t="shared" si="5"/>
        <v>28052</v>
      </c>
      <c r="B335" s="10">
        <v>28052</v>
      </c>
      <c r="C335" s="11">
        <v>6.7699999999999996E-2</v>
      </c>
      <c r="E335" s="13" t="s">
        <v>8</v>
      </c>
      <c r="F335" s="13"/>
      <c r="J335" s="15"/>
    </row>
    <row r="336" spans="1:10" ht="12.75">
      <c r="A336" s="9">
        <f t="shared" si="5"/>
        <v>28083</v>
      </c>
      <c r="B336" s="10">
        <v>28083</v>
      </c>
      <c r="C336" s="11">
        <v>6.5000000000000002E-2</v>
      </c>
      <c r="E336" s="13" t="s">
        <v>8</v>
      </c>
      <c r="F336" s="13"/>
      <c r="J336" s="15"/>
    </row>
    <row r="337" spans="1:10" ht="12.75">
      <c r="A337" s="9">
        <f t="shared" si="5"/>
        <v>28113</v>
      </c>
      <c r="B337" s="10">
        <v>28113</v>
      </c>
      <c r="C337" s="11">
        <v>6.3500000000000001E-2</v>
      </c>
      <c r="E337" s="13" t="s">
        <v>8</v>
      </c>
      <c r="F337" s="13"/>
      <c r="J337" s="15"/>
    </row>
    <row r="338" spans="1:10" ht="12.75">
      <c r="A338" s="9">
        <f t="shared" si="5"/>
        <v>28144</v>
      </c>
      <c r="B338" s="10">
        <v>28144</v>
      </c>
      <c r="C338" s="11">
        <v>6.25E-2</v>
      </c>
      <c r="E338" s="13" t="s">
        <v>8</v>
      </c>
      <c r="F338" s="13"/>
      <c r="J338" s="15"/>
    </row>
    <row r="339" spans="1:10" ht="12.75">
      <c r="A339" s="9">
        <f t="shared" si="5"/>
        <v>28175</v>
      </c>
      <c r="B339" s="10">
        <v>28175</v>
      </c>
      <c r="C339" s="11">
        <v>6.25E-2</v>
      </c>
      <c r="E339" s="13" t="s">
        <v>8</v>
      </c>
      <c r="F339" s="13"/>
      <c r="J339" s="15"/>
    </row>
    <row r="340" spans="1:10" ht="12.75">
      <c r="A340" s="9">
        <f t="shared" si="5"/>
        <v>28203</v>
      </c>
      <c r="B340" s="10">
        <v>28203</v>
      </c>
      <c r="C340" s="11">
        <v>6.25E-2</v>
      </c>
      <c r="E340" s="13" t="s">
        <v>8</v>
      </c>
      <c r="F340" s="13"/>
      <c r="J340" s="15"/>
    </row>
    <row r="341" spans="1:10" ht="12.75">
      <c r="A341" s="9">
        <f t="shared" si="5"/>
        <v>28234</v>
      </c>
      <c r="B341" s="10">
        <v>28234</v>
      </c>
      <c r="C341" s="11">
        <v>6.25E-2</v>
      </c>
      <c r="E341" s="13" t="s">
        <v>8</v>
      </c>
      <c r="F341" s="13"/>
      <c r="J341" s="15"/>
    </row>
    <row r="342" spans="1:10" ht="12.75">
      <c r="A342" s="9">
        <f t="shared" si="5"/>
        <v>28264</v>
      </c>
      <c r="B342" s="10">
        <v>28264</v>
      </c>
      <c r="C342" s="11">
        <v>6.4100000000000004E-2</v>
      </c>
      <c r="E342" s="13" t="s">
        <v>8</v>
      </c>
      <c r="F342" s="13"/>
      <c r="J342" s="15"/>
    </row>
    <row r="343" spans="1:10" ht="12.75">
      <c r="A343" s="9">
        <f t="shared" si="5"/>
        <v>28295</v>
      </c>
      <c r="B343" s="10">
        <v>28295</v>
      </c>
      <c r="C343" s="11">
        <v>6.7500000000000004E-2</v>
      </c>
      <c r="E343" s="13" t="s">
        <v>8</v>
      </c>
      <c r="F343" s="13"/>
      <c r="J343" s="15"/>
    </row>
    <row r="344" spans="1:10" ht="12.75">
      <c r="A344" s="9">
        <f t="shared" si="5"/>
        <v>28325</v>
      </c>
      <c r="B344" s="10">
        <v>28325</v>
      </c>
      <c r="C344" s="11">
        <v>6.7500000000000004E-2</v>
      </c>
      <c r="E344" s="13" t="s">
        <v>8</v>
      </c>
      <c r="F344" s="13"/>
      <c r="J344" s="15"/>
    </row>
    <row r="345" spans="1:10" ht="12.75">
      <c r="A345" s="9">
        <f t="shared" si="5"/>
        <v>28356</v>
      </c>
      <c r="B345" s="10">
        <v>28356</v>
      </c>
      <c r="C345" s="11">
        <v>6.83E-2</v>
      </c>
      <c r="E345" s="13" t="s">
        <v>8</v>
      </c>
      <c r="F345" s="13"/>
      <c r="J345" s="15"/>
    </row>
    <row r="346" spans="1:10" ht="12.75">
      <c r="A346" s="9">
        <f t="shared" si="5"/>
        <v>28387</v>
      </c>
      <c r="B346" s="10">
        <v>28387</v>
      </c>
      <c r="C346" s="11">
        <v>7.1300000000000002E-2</v>
      </c>
      <c r="E346" s="13" t="s">
        <v>8</v>
      </c>
      <c r="F346" s="13"/>
      <c r="J346" s="15"/>
    </row>
    <row r="347" spans="1:10" ht="12.75">
      <c r="A347" s="9">
        <f t="shared" si="5"/>
        <v>28417</v>
      </c>
      <c r="B347" s="10">
        <v>28417</v>
      </c>
      <c r="C347" s="11">
        <v>7.5199999999999989E-2</v>
      </c>
      <c r="E347" s="13" t="s">
        <v>8</v>
      </c>
      <c r="F347" s="13"/>
      <c r="J347" s="15"/>
    </row>
    <row r="348" spans="1:10" ht="12.75">
      <c r="A348" s="9">
        <f t="shared" si="5"/>
        <v>28448</v>
      </c>
      <c r="B348" s="10">
        <v>28448</v>
      </c>
      <c r="C348" s="11">
        <v>7.7499999999999999E-2</v>
      </c>
      <c r="E348" s="13" t="s">
        <v>8</v>
      </c>
      <c r="F348" s="13"/>
      <c r="J348" s="15"/>
    </row>
    <row r="349" spans="1:10" ht="12.75">
      <c r="A349" s="9">
        <f t="shared" si="5"/>
        <v>28478</v>
      </c>
      <c r="B349" s="10">
        <v>28478</v>
      </c>
      <c r="C349" s="11">
        <v>7.7499999999999999E-2</v>
      </c>
      <c r="E349" s="13" t="s">
        <v>8</v>
      </c>
      <c r="F349" s="13"/>
      <c r="J349" s="15"/>
    </row>
    <row r="350" spans="1:10" ht="12.75">
      <c r="A350" s="9">
        <f t="shared" si="5"/>
        <v>28509</v>
      </c>
      <c r="B350" s="10">
        <v>28509</v>
      </c>
      <c r="C350" s="11">
        <v>7.9299999999999995E-2</v>
      </c>
      <c r="E350" s="13" t="s">
        <v>8</v>
      </c>
      <c r="F350" s="13"/>
      <c r="J350" s="15"/>
    </row>
    <row r="351" spans="1:10" ht="12.75">
      <c r="A351" s="9">
        <f t="shared" si="5"/>
        <v>28540</v>
      </c>
      <c r="B351" s="10">
        <v>28540</v>
      </c>
      <c r="C351" s="11">
        <v>0.08</v>
      </c>
      <c r="E351" s="13" t="s">
        <v>8</v>
      </c>
      <c r="F351" s="13"/>
      <c r="J351" s="15"/>
    </row>
    <row r="352" spans="1:10" ht="12.75">
      <c r="A352" s="9">
        <f t="shared" si="5"/>
        <v>28568</v>
      </c>
      <c r="B352" s="10">
        <v>28568</v>
      </c>
      <c r="C352" s="11">
        <v>0.08</v>
      </c>
      <c r="E352" s="13" t="s">
        <v>8</v>
      </c>
      <c r="F352" s="13"/>
      <c r="J352" s="15"/>
    </row>
    <row r="353" spans="1:10" ht="12.75">
      <c r="A353" s="9">
        <f t="shared" si="5"/>
        <v>28599</v>
      </c>
      <c r="B353" s="10">
        <v>28599</v>
      </c>
      <c r="C353" s="11">
        <v>0.08</v>
      </c>
      <c r="E353" s="13" t="s">
        <v>8</v>
      </c>
      <c r="F353" s="13"/>
      <c r="J353" s="15"/>
    </row>
    <row r="354" spans="1:10" ht="12.75">
      <c r="A354" s="9">
        <f t="shared" si="5"/>
        <v>28629</v>
      </c>
      <c r="B354" s="10">
        <v>28629</v>
      </c>
      <c r="C354" s="11">
        <v>8.2699999999999996E-2</v>
      </c>
      <c r="E354" s="13" t="s">
        <v>8</v>
      </c>
      <c r="F354" s="13"/>
      <c r="J354" s="15"/>
    </row>
    <row r="355" spans="1:10" ht="12.75">
      <c r="A355" s="9">
        <f t="shared" si="5"/>
        <v>28660</v>
      </c>
      <c r="B355" s="10">
        <v>28660</v>
      </c>
      <c r="C355" s="11">
        <v>8.6300000000000002E-2</v>
      </c>
      <c r="E355" s="13" t="s">
        <v>8</v>
      </c>
      <c r="F355" s="13"/>
      <c r="J355" s="15"/>
    </row>
    <row r="356" spans="1:10" ht="12.75">
      <c r="A356" s="9">
        <f t="shared" si="5"/>
        <v>28690</v>
      </c>
      <c r="B356" s="10">
        <v>28690</v>
      </c>
      <c r="C356" s="11">
        <v>0.09</v>
      </c>
      <c r="E356" s="13" t="s">
        <v>8</v>
      </c>
      <c r="F356" s="13"/>
      <c r="J356" s="15"/>
    </row>
    <row r="357" spans="1:10" ht="12.75">
      <c r="A357" s="9">
        <f t="shared" si="5"/>
        <v>28721</v>
      </c>
      <c r="B357" s="10">
        <v>28721</v>
      </c>
      <c r="C357" s="11">
        <v>9.01E-2</v>
      </c>
      <c r="E357" s="13" t="s">
        <v>8</v>
      </c>
      <c r="F357" s="13"/>
      <c r="J357" s="15"/>
    </row>
    <row r="358" spans="1:10" ht="12.75">
      <c r="A358" s="9">
        <f t="shared" si="5"/>
        <v>28752</v>
      </c>
      <c r="B358" s="10">
        <v>28752</v>
      </c>
      <c r="C358" s="11">
        <v>9.4100000000000003E-2</v>
      </c>
      <c r="E358" s="13" t="s">
        <v>8</v>
      </c>
      <c r="F358" s="13"/>
      <c r="J358" s="15"/>
    </row>
    <row r="359" spans="1:10" ht="12.75">
      <c r="A359" s="9">
        <f t="shared" si="5"/>
        <v>28782</v>
      </c>
      <c r="B359" s="10">
        <v>28782</v>
      </c>
      <c r="C359" s="11">
        <v>9.9399999999999988E-2</v>
      </c>
      <c r="E359" s="13" t="s">
        <v>8</v>
      </c>
      <c r="F359" s="13"/>
      <c r="J359" s="15"/>
    </row>
    <row r="360" spans="1:10" ht="12.75">
      <c r="A360" s="9">
        <f t="shared" si="5"/>
        <v>28813</v>
      </c>
      <c r="B360" s="10">
        <v>28813</v>
      </c>
      <c r="C360" s="11">
        <v>0.1094</v>
      </c>
      <c r="E360" s="13" t="s">
        <v>8</v>
      </c>
      <c r="F360" s="13"/>
      <c r="J360" s="15"/>
    </row>
    <row r="361" spans="1:10" ht="12.75">
      <c r="A361" s="9">
        <f t="shared" si="5"/>
        <v>28843</v>
      </c>
      <c r="B361" s="10">
        <v>28843</v>
      </c>
      <c r="C361" s="11">
        <v>0.11550000000000001</v>
      </c>
      <c r="E361" s="13" t="s">
        <v>8</v>
      </c>
      <c r="F361" s="13"/>
      <c r="J361" s="15"/>
    </row>
    <row r="362" spans="1:10" ht="12.75">
      <c r="A362" s="9">
        <f t="shared" si="5"/>
        <v>28874</v>
      </c>
      <c r="B362" s="10">
        <v>28874</v>
      </c>
      <c r="C362" s="11">
        <v>0.11749999999999999</v>
      </c>
      <c r="E362" s="13" t="s">
        <v>8</v>
      </c>
      <c r="F362" s="13"/>
      <c r="J362" s="15"/>
    </row>
    <row r="363" spans="1:10" ht="12.75">
      <c r="A363" s="9">
        <f t="shared" si="5"/>
        <v>28905</v>
      </c>
      <c r="B363" s="10">
        <v>28905</v>
      </c>
      <c r="C363" s="11">
        <v>0.11749999999999999</v>
      </c>
      <c r="E363" s="13" t="s">
        <v>8</v>
      </c>
      <c r="F363" s="13"/>
      <c r="J363" s="15"/>
    </row>
    <row r="364" spans="1:10" ht="12.75">
      <c r="A364" s="9">
        <f t="shared" si="5"/>
        <v>28933</v>
      </c>
      <c r="B364" s="10">
        <v>28933</v>
      </c>
      <c r="C364" s="11">
        <v>0.11749999999999999</v>
      </c>
      <c r="E364" s="13" t="s">
        <v>8</v>
      </c>
      <c r="F364" s="13"/>
      <c r="J364" s="15"/>
    </row>
    <row r="365" spans="1:10" ht="12.75">
      <c r="A365" s="9">
        <f t="shared" si="5"/>
        <v>28964</v>
      </c>
      <c r="B365" s="10">
        <v>28964</v>
      </c>
      <c r="C365" s="11">
        <v>0.11749999999999999</v>
      </c>
      <c r="E365" s="13" t="s">
        <v>8</v>
      </c>
      <c r="F365" s="13"/>
      <c r="J365" s="15"/>
    </row>
    <row r="366" spans="1:10" ht="12.75">
      <c r="A366" s="9">
        <f t="shared" si="5"/>
        <v>28994</v>
      </c>
      <c r="B366" s="10">
        <v>28994</v>
      </c>
      <c r="C366" s="11">
        <v>0.11749999999999999</v>
      </c>
      <c r="E366" s="13" t="s">
        <v>8</v>
      </c>
      <c r="F366" s="13"/>
      <c r="J366" s="15"/>
    </row>
    <row r="367" spans="1:10" ht="12.75">
      <c r="A367" s="9">
        <f t="shared" si="5"/>
        <v>29025</v>
      </c>
      <c r="B367" s="10">
        <v>29025</v>
      </c>
      <c r="C367" s="11">
        <v>0.11650000000000001</v>
      </c>
      <c r="E367" s="13" t="s">
        <v>8</v>
      </c>
      <c r="F367" s="13"/>
      <c r="J367" s="15"/>
    </row>
    <row r="368" spans="1:10" ht="12.75">
      <c r="A368" s="9">
        <f t="shared" si="5"/>
        <v>29055</v>
      </c>
      <c r="B368" s="10">
        <v>29055</v>
      </c>
      <c r="C368" s="11">
        <v>0.11539999999999999</v>
      </c>
      <c r="E368" s="13" t="s">
        <v>8</v>
      </c>
      <c r="F368" s="13"/>
      <c r="J368" s="15"/>
    </row>
    <row r="369" spans="1:10" ht="12.75">
      <c r="A369" s="9">
        <f t="shared" si="5"/>
        <v>29086</v>
      </c>
      <c r="B369" s="10">
        <v>29086</v>
      </c>
      <c r="C369" s="11">
        <v>0.1191</v>
      </c>
      <c r="E369" s="13" t="s">
        <v>8</v>
      </c>
      <c r="F369" s="13"/>
      <c r="J369" s="15"/>
    </row>
    <row r="370" spans="1:10" ht="12.75">
      <c r="A370" s="9">
        <f t="shared" si="5"/>
        <v>29117</v>
      </c>
      <c r="B370" s="10">
        <v>29117</v>
      </c>
      <c r="C370" s="11">
        <v>0.129</v>
      </c>
      <c r="E370" s="13" t="s">
        <v>8</v>
      </c>
      <c r="F370" s="13"/>
      <c r="J370" s="15"/>
    </row>
    <row r="371" spans="1:10">
      <c r="A371" s="9">
        <f t="shared" si="5"/>
        <v>29147</v>
      </c>
      <c r="B371" s="10">
        <v>29147</v>
      </c>
      <c r="C371" s="11">
        <v>0.1439</v>
      </c>
      <c r="E371" s="15" t="str">
        <f t="shared" ref="E371:E434" si="6">IF(MONTH(B371)&lt;4,"1",IF(MONTH(B371)&lt;7,"2",IF(MONTH(B371)&lt;10,"3","4")))&amp;"Q"&amp;YEAR(B371)</f>
        <v>4Q1979</v>
      </c>
      <c r="F371" s="16">
        <v>0.11699999999999999</v>
      </c>
      <c r="J371" s="15"/>
    </row>
    <row r="372" spans="1:10">
      <c r="A372" s="9">
        <f t="shared" si="5"/>
        <v>29178</v>
      </c>
      <c r="B372" s="10">
        <v>29178</v>
      </c>
      <c r="C372" s="11">
        <v>0.1555</v>
      </c>
      <c r="E372" s="15" t="str">
        <f t="shared" si="6"/>
        <v>4Q1979</v>
      </c>
      <c r="F372" s="16">
        <v>0.11699999999999999</v>
      </c>
      <c r="J372" s="15"/>
    </row>
    <row r="373" spans="1:10">
      <c r="A373" s="9">
        <f t="shared" si="5"/>
        <v>29208</v>
      </c>
      <c r="B373" s="10">
        <v>29208</v>
      </c>
      <c r="C373" s="11">
        <v>0.153</v>
      </c>
      <c r="E373" s="15" t="str">
        <f t="shared" si="6"/>
        <v>4Q1979</v>
      </c>
      <c r="F373" s="16">
        <v>0.11699999999999999</v>
      </c>
      <c r="J373" s="15"/>
    </row>
    <row r="374" spans="1:10">
      <c r="A374" s="9">
        <f t="shared" si="5"/>
        <v>29239</v>
      </c>
      <c r="B374" s="10">
        <v>29239</v>
      </c>
      <c r="C374" s="11">
        <v>0.1525</v>
      </c>
      <c r="E374" s="15" t="str">
        <f t="shared" si="6"/>
        <v>1Q1980</v>
      </c>
      <c r="F374" s="16">
        <v>0.14280000000000001</v>
      </c>
      <c r="J374" s="15"/>
    </row>
    <row r="375" spans="1:10">
      <c r="A375" s="9">
        <f t="shared" si="5"/>
        <v>29270</v>
      </c>
      <c r="B375" s="10">
        <v>29270</v>
      </c>
      <c r="C375" s="11">
        <v>0.15629999999999999</v>
      </c>
      <c r="E375" s="15" t="str">
        <f t="shared" si="6"/>
        <v>1Q1980</v>
      </c>
      <c r="F375" s="16">
        <v>0.14280000000000001</v>
      </c>
      <c r="J375" s="15"/>
    </row>
    <row r="376" spans="1:10">
      <c r="A376" s="9">
        <f t="shared" si="5"/>
        <v>29299</v>
      </c>
      <c r="B376" s="10">
        <v>29299</v>
      </c>
      <c r="C376" s="11">
        <v>0.18309999999999998</v>
      </c>
      <c r="E376" s="15" t="str">
        <f t="shared" si="6"/>
        <v>1Q1980</v>
      </c>
      <c r="F376" s="16">
        <v>0.14280000000000001</v>
      </c>
      <c r="J376" s="15"/>
    </row>
    <row r="377" spans="1:10">
      <c r="A377" s="9">
        <f t="shared" si="5"/>
        <v>29330</v>
      </c>
      <c r="B377" s="10">
        <v>29330</v>
      </c>
      <c r="C377" s="11">
        <v>0.19769999999999999</v>
      </c>
      <c r="E377" s="15" t="str">
        <f t="shared" si="6"/>
        <v>2Q1980</v>
      </c>
      <c r="F377" s="16">
        <v>0.15393333333333334</v>
      </c>
      <c r="J377" s="15"/>
    </row>
    <row r="378" spans="1:10">
      <c r="A378" s="9">
        <f t="shared" si="5"/>
        <v>29360</v>
      </c>
      <c r="B378" s="10">
        <v>29360</v>
      </c>
      <c r="C378" s="11">
        <v>0.16570000000000001</v>
      </c>
      <c r="E378" s="15" t="str">
        <f t="shared" si="6"/>
        <v>2Q1980</v>
      </c>
      <c r="F378" s="16">
        <v>0.15393333333333334</v>
      </c>
      <c r="J378" s="15"/>
    </row>
    <row r="379" spans="1:10">
      <c r="A379" s="9">
        <f t="shared" si="5"/>
        <v>29391</v>
      </c>
      <c r="B379" s="10">
        <v>29391</v>
      </c>
      <c r="C379" s="11">
        <v>0.1263</v>
      </c>
      <c r="E379" s="15" t="str">
        <f t="shared" si="6"/>
        <v>2Q1980</v>
      </c>
      <c r="F379" s="16">
        <v>0.15393333333333334</v>
      </c>
      <c r="J379" s="15"/>
    </row>
    <row r="380" spans="1:10">
      <c r="A380" s="9">
        <f t="shared" si="5"/>
        <v>29421</v>
      </c>
      <c r="B380" s="10">
        <v>29421</v>
      </c>
      <c r="C380" s="11">
        <v>0.1148</v>
      </c>
      <c r="E380" s="15" t="str">
        <f t="shared" si="6"/>
        <v>3Q1980</v>
      </c>
      <c r="F380" s="16">
        <v>0.18216666666666667</v>
      </c>
      <c r="J380" s="15"/>
    </row>
    <row r="381" spans="1:10">
      <c r="A381" s="9">
        <f t="shared" si="5"/>
        <v>29452</v>
      </c>
      <c r="B381" s="10">
        <v>29452</v>
      </c>
      <c r="C381" s="11">
        <v>0.11119999999999999</v>
      </c>
      <c r="E381" s="15" t="str">
        <f t="shared" si="6"/>
        <v>3Q1980</v>
      </c>
      <c r="F381" s="16">
        <v>0.18216666666666667</v>
      </c>
      <c r="J381" s="15"/>
    </row>
    <row r="382" spans="1:10">
      <c r="A382" s="9">
        <f t="shared" si="5"/>
        <v>29483</v>
      </c>
      <c r="B382" s="10">
        <v>29483</v>
      </c>
      <c r="C382" s="11">
        <v>0.12230000000000001</v>
      </c>
      <c r="E382" s="15" t="str">
        <f t="shared" si="6"/>
        <v>3Q1980</v>
      </c>
      <c r="F382" s="16">
        <v>0.18216666666666667</v>
      </c>
      <c r="J382" s="15"/>
    </row>
    <row r="383" spans="1:10">
      <c r="A383" s="9">
        <f t="shared" si="5"/>
        <v>29513</v>
      </c>
      <c r="B383" s="10">
        <v>29513</v>
      </c>
      <c r="C383" s="11">
        <v>0.13789999999999999</v>
      </c>
      <c r="E383" s="15" t="str">
        <f t="shared" si="6"/>
        <v>4Q1980</v>
      </c>
      <c r="F383" s="16">
        <v>0.11743333333333332</v>
      </c>
      <c r="J383" s="15"/>
    </row>
    <row r="384" spans="1:10">
      <c r="A384" s="9">
        <f t="shared" si="5"/>
        <v>29544</v>
      </c>
      <c r="B384" s="10">
        <v>29544</v>
      </c>
      <c r="C384" s="11">
        <v>0.16059999999999999</v>
      </c>
      <c r="E384" s="15" t="str">
        <f t="shared" si="6"/>
        <v>4Q1980</v>
      </c>
      <c r="F384" s="16">
        <v>0.11743333333333332</v>
      </c>
      <c r="J384" s="15"/>
    </row>
    <row r="385" spans="1:10">
      <c r="A385" s="9">
        <f t="shared" si="5"/>
        <v>29574</v>
      </c>
      <c r="B385" s="10">
        <v>29574</v>
      </c>
      <c r="C385" s="11">
        <v>0.20350000000000001</v>
      </c>
      <c r="E385" s="15" t="str">
        <f t="shared" si="6"/>
        <v>4Q1980</v>
      </c>
      <c r="F385" s="16">
        <v>0.11743333333333332</v>
      </c>
      <c r="J385" s="15"/>
    </row>
    <row r="386" spans="1:10">
      <c r="A386" s="9">
        <f t="shared" si="5"/>
        <v>29605</v>
      </c>
      <c r="B386" s="10">
        <v>29605</v>
      </c>
      <c r="C386" s="11">
        <v>0.2016</v>
      </c>
      <c r="E386" s="15" t="str">
        <f t="shared" si="6"/>
        <v>1Q1981</v>
      </c>
      <c r="F386" s="16">
        <v>0.14026666666666665</v>
      </c>
      <c r="J386" s="15"/>
    </row>
    <row r="387" spans="1:10">
      <c r="A387" s="9">
        <f t="shared" ref="A387:A450" si="7">+B387</f>
        <v>29636</v>
      </c>
      <c r="B387" s="10">
        <v>29636</v>
      </c>
      <c r="C387" s="11">
        <v>0.1943</v>
      </c>
      <c r="E387" s="15" t="str">
        <f t="shared" si="6"/>
        <v>1Q1981</v>
      </c>
      <c r="F387" s="16">
        <v>0.14026666666666665</v>
      </c>
      <c r="J387" s="15"/>
    </row>
    <row r="388" spans="1:10">
      <c r="A388" s="9">
        <f t="shared" si="7"/>
        <v>29664</v>
      </c>
      <c r="B388" s="10">
        <v>29664</v>
      </c>
      <c r="C388" s="11">
        <v>0.18049999999999999</v>
      </c>
      <c r="E388" s="15" t="str">
        <f t="shared" si="6"/>
        <v>1Q1981</v>
      </c>
      <c r="F388" s="16">
        <v>0.14026666666666665</v>
      </c>
      <c r="J388" s="15"/>
    </row>
    <row r="389" spans="1:10">
      <c r="A389" s="9">
        <f t="shared" si="7"/>
        <v>29695</v>
      </c>
      <c r="B389" s="10">
        <v>29695</v>
      </c>
      <c r="C389" s="11">
        <v>0.17149999999999999</v>
      </c>
      <c r="E389" s="15" t="str">
        <f t="shared" si="6"/>
        <v>2Q1981</v>
      </c>
      <c r="F389" s="16">
        <v>0.19980000000000001</v>
      </c>
      <c r="J389" s="15"/>
    </row>
    <row r="390" spans="1:10">
      <c r="A390" s="9">
        <f t="shared" si="7"/>
        <v>29725</v>
      </c>
      <c r="B390" s="10">
        <v>29725</v>
      </c>
      <c r="C390" s="11">
        <v>0.1961</v>
      </c>
      <c r="E390" s="15" t="str">
        <f t="shared" si="6"/>
        <v>2Q1981</v>
      </c>
      <c r="F390" s="16">
        <v>0.19980000000000001</v>
      </c>
      <c r="J390" s="15"/>
    </row>
    <row r="391" spans="1:10">
      <c r="A391" s="9">
        <f t="shared" si="7"/>
        <v>29756</v>
      </c>
      <c r="B391" s="10">
        <v>29756</v>
      </c>
      <c r="C391" s="11">
        <v>0.20030000000000001</v>
      </c>
      <c r="E391" s="15" t="str">
        <f t="shared" si="6"/>
        <v>2Q1981</v>
      </c>
      <c r="F391" s="16">
        <v>0.19980000000000001</v>
      </c>
      <c r="J391" s="15"/>
    </row>
    <row r="392" spans="1:10">
      <c r="A392" s="9">
        <f t="shared" si="7"/>
        <v>29786</v>
      </c>
      <c r="B392" s="10">
        <v>29786</v>
      </c>
      <c r="C392" s="11">
        <v>0.2039</v>
      </c>
      <c r="E392" s="15" t="str">
        <f t="shared" si="6"/>
        <v>3Q1981</v>
      </c>
      <c r="F392" s="16">
        <v>0.1827</v>
      </c>
      <c r="J392" s="15"/>
    </row>
    <row r="393" spans="1:10">
      <c r="A393" s="9">
        <f t="shared" si="7"/>
        <v>29817</v>
      </c>
      <c r="B393" s="10">
        <v>29817</v>
      </c>
      <c r="C393" s="11">
        <v>0.20499999999999999</v>
      </c>
      <c r="E393" s="15" t="str">
        <f t="shared" si="6"/>
        <v>3Q1981</v>
      </c>
      <c r="F393" s="16">
        <v>0.1827</v>
      </c>
      <c r="J393" s="15"/>
    </row>
    <row r="394" spans="1:10">
      <c r="A394" s="9">
        <f t="shared" si="7"/>
        <v>29848</v>
      </c>
      <c r="B394" s="10">
        <v>29848</v>
      </c>
      <c r="C394" s="11">
        <v>0.20079999999999998</v>
      </c>
      <c r="E394" s="15" t="str">
        <f t="shared" si="6"/>
        <v>3Q1981</v>
      </c>
      <c r="F394" s="16">
        <v>0.1827</v>
      </c>
      <c r="J394" s="15"/>
    </row>
    <row r="395" spans="1:10">
      <c r="A395" s="9">
        <f t="shared" si="7"/>
        <v>29878</v>
      </c>
      <c r="B395" s="10">
        <v>29878</v>
      </c>
      <c r="C395" s="11">
        <v>0.1845</v>
      </c>
      <c r="E395" s="15" t="str">
        <f t="shared" si="6"/>
        <v>4Q1981</v>
      </c>
      <c r="F395" s="16">
        <v>0.20306666666666665</v>
      </c>
      <c r="J395" s="15"/>
    </row>
    <row r="396" spans="1:10">
      <c r="A396" s="9">
        <f t="shared" si="7"/>
        <v>29909</v>
      </c>
      <c r="B396" s="10">
        <v>29909</v>
      </c>
      <c r="C396" s="11">
        <v>0.16839999999999999</v>
      </c>
      <c r="E396" s="15" t="str">
        <f t="shared" si="6"/>
        <v>4Q1981</v>
      </c>
      <c r="F396" s="16">
        <v>0.20306666666666665</v>
      </c>
      <c r="J396" s="15"/>
    </row>
    <row r="397" spans="1:10">
      <c r="A397" s="9">
        <f t="shared" si="7"/>
        <v>29939</v>
      </c>
      <c r="B397" s="10">
        <v>29939</v>
      </c>
      <c r="C397" s="11">
        <v>0.1575</v>
      </c>
      <c r="E397" s="15" t="str">
        <f t="shared" si="6"/>
        <v>4Q1981</v>
      </c>
      <c r="F397" s="16">
        <v>0.20306666666666665</v>
      </c>
      <c r="J397" s="15"/>
    </row>
    <row r="398" spans="1:10">
      <c r="A398" s="9">
        <f t="shared" si="7"/>
        <v>29970</v>
      </c>
      <c r="B398" s="10">
        <v>29970</v>
      </c>
      <c r="C398" s="11">
        <v>0.1575</v>
      </c>
      <c r="E398" s="15" t="str">
        <f t="shared" si="6"/>
        <v>1Q1982</v>
      </c>
      <c r="F398" s="16">
        <v>0.18456666666666666</v>
      </c>
      <c r="J398" s="15"/>
    </row>
    <row r="399" spans="1:10">
      <c r="A399" s="9">
        <f t="shared" si="7"/>
        <v>30001</v>
      </c>
      <c r="B399" s="10">
        <v>30001</v>
      </c>
      <c r="C399" s="11">
        <v>0.1656</v>
      </c>
      <c r="E399" s="15" t="str">
        <f t="shared" si="6"/>
        <v>1Q1982</v>
      </c>
      <c r="F399" s="16">
        <v>0.18456666666666666</v>
      </c>
      <c r="J399" s="15"/>
    </row>
    <row r="400" spans="1:10">
      <c r="A400" s="9">
        <f t="shared" si="7"/>
        <v>30029</v>
      </c>
      <c r="B400" s="10">
        <v>30029</v>
      </c>
      <c r="C400" s="11">
        <v>0.16500000000000001</v>
      </c>
      <c r="E400" s="15" t="str">
        <f t="shared" si="6"/>
        <v>1Q1982</v>
      </c>
      <c r="F400" s="16">
        <v>0.18456666666666666</v>
      </c>
      <c r="J400" s="15"/>
    </row>
    <row r="401" spans="1:10">
      <c r="A401" s="9">
        <f t="shared" si="7"/>
        <v>30060</v>
      </c>
      <c r="B401" s="10">
        <v>30060</v>
      </c>
      <c r="C401" s="11">
        <v>0.16500000000000001</v>
      </c>
      <c r="E401" s="15" t="str">
        <f t="shared" si="6"/>
        <v>2Q1982</v>
      </c>
      <c r="F401" s="16">
        <v>0.16020000000000001</v>
      </c>
      <c r="J401" s="15"/>
    </row>
    <row r="402" spans="1:10">
      <c r="A402" s="9">
        <f t="shared" si="7"/>
        <v>30090</v>
      </c>
      <c r="B402" s="10">
        <v>30090</v>
      </c>
      <c r="C402" s="11">
        <v>0.16500000000000001</v>
      </c>
      <c r="E402" s="15" t="str">
        <f t="shared" si="6"/>
        <v>2Q1982</v>
      </c>
      <c r="F402" s="16">
        <v>0.16020000000000001</v>
      </c>
      <c r="J402" s="15"/>
    </row>
    <row r="403" spans="1:10">
      <c r="A403" s="9">
        <f t="shared" si="7"/>
        <v>30121</v>
      </c>
      <c r="B403" s="10">
        <v>30121</v>
      </c>
      <c r="C403" s="11">
        <v>0.16500000000000001</v>
      </c>
      <c r="E403" s="15" t="str">
        <f t="shared" si="6"/>
        <v>2Q1982</v>
      </c>
      <c r="F403" s="16">
        <v>0.16020000000000001</v>
      </c>
      <c r="J403" s="15"/>
    </row>
    <row r="404" spans="1:10">
      <c r="A404" s="9">
        <f t="shared" si="7"/>
        <v>30151</v>
      </c>
      <c r="B404" s="10">
        <v>30151</v>
      </c>
      <c r="C404" s="11">
        <v>0.16260000000000002</v>
      </c>
      <c r="E404" s="15" t="str">
        <f t="shared" si="6"/>
        <v>3Q1982</v>
      </c>
      <c r="F404" s="16">
        <v>0.16500000000000001</v>
      </c>
      <c r="J404" s="15"/>
    </row>
    <row r="405" spans="1:10">
      <c r="A405" s="9">
        <f t="shared" si="7"/>
        <v>30182</v>
      </c>
      <c r="B405" s="10">
        <v>30182</v>
      </c>
      <c r="C405" s="11">
        <v>0.1439</v>
      </c>
      <c r="E405" s="15" t="str">
        <f t="shared" si="6"/>
        <v>3Q1982</v>
      </c>
      <c r="F405" s="16">
        <v>0.16500000000000001</v>
      </c>
      <c r="J405" s="15"/>
    </row>
    <row r="406" spans="1:10">
      <c r="A406" s="9">
        <f t="shared" si="7"/>
        <v>30213</v>
      </c>
      <c r="B406" s="10">
        <v>30213</v>
      </c>
      <c r="C406" s="11">
        <v>0.13500000000000001</v>
      </c>
      <c r="E406" s="15" t="str">
        <f t="shared" si="6"/>
        <v>3Q1982</v>
      </c>
      <c r="F406" s="16">
        <v>0.16500000000000001</v>
      </c>
      <c r="J406" s="15"/>
    </row>
    <row r="407" spans="1:10">
      <c r="A407" s="9">
        <f t="shared" si="7"/>
        <v>30243</v>
      </c>
      <c r="B407" s="10">
        <v>30243</v>
      </c>
      <c r="C407" s="11">
        <v>0.12520000000000001</v>
      </c>
      <c r="E407" s="15" t="str">
        <f t="shared" si="6"/>
        <v>4Q1982</v>
      </c>
      <c r="F407" s="16">
        <v>0.15716666666666668</v>
      </c>
      <c r="J407" s="15"/>
    </row>
    <row r="408" spans="1:10">
      <c r="A408" s="9">
        <f t="shared" si="7"/>
        <v>30274</v>
      </c>
      <c r="B408" s="10">
        <v>30274</v>
      </c>
      <c r="C408" s="11">
        <v>0.11849999999999999</v>
      </c>
      <c r="E408" s="15" t="str">
        <f t="shared" si="6"/>
        <v>4Q1982</v>
      </c>
      <c r="F408" s="16">
        <v>0.15716666666666668</v>
      </c>
      <c r="J408" s="15"/>
    </row>
    <row r="409" spans="1:10">
      <c r="A409" s="9">
        <f t="shared" si="7"/>
        <v>30304</v>
      </c>
      <c r="B409" s="10">
        <v>30304</v>
      </c>
      <c r="C409" s="11">
        <v>0.115</v>
      </c>
      <c r="E409" s="15" t="str">
        <f t="shared" si="6"/>
        <v>4Q1982</v>
      </c>
      <c r="F409" s="16">
        <v>0.15716666666666668</v>
      </c>
      <c r="J409" s="15"/>
    </row>
    <row r="410" spans="1:10">
      <c r="A410" s="9">
        <f t="shared" si="7"/>
        <v>30335</v>
      </c>
      <c r="B410" s="10">
        <v>30335</v>
      </c>
      <c r="C410" s="11">
        <v>0.1116</v>
      </c>
      <c r="E410" s="15" t="str">
        <f t="shared" si="6"/>
        <v>1Q1983</v>
      </c>
      <c r="F410" s="16">
        <v>0.12623333333333334</v>
      </c>
      <c r="J410" s="15"/>
    </row>
    <row r="411" spans="1:10">
      <c r="A411" s="9">
        <f t="shared" si="7"/>
        <v>30366</v>
      </c>
      <c r="B411" s="10">
        <v>30366</v>
      </c>
      <c r="C411" s="11">
        <v>0.10980000000000001</v>
      </c>
      <c r="E411" s="15" t="str">
        <f t="shared" si="6"/>
        <v>1Q1983</v>
      </c>
      <c r="F411" s="16">
        <v>0.12623333333333334</v>
      </c>
      <c r="J411" s="15"/>
    </row>
    <row r="412" spans="1:10">
      <c r="A412" s="9">
        <f t="shared" si="7"/>
        <v>30394</v>
      </c>
      <c r="B412" s="10">
        <v>30394</v>
      </c>
      <c r="C412" s="11">
        <v>0.105</v>
      </c>
      <c r="E412" s="15" t="str">
        <f t="shared" si="6"/>
        <v>1Q1983</v>
      </c>
      <c r="F412" s="16">
        <v>0.12623333333333334</v>
      </c>
      <c r="J412" s="15"/>
    </row>
    <row r="413" spans="1:10">
      <c r="A413" s="9">
        <f t="shared" si="7"/>
        <v>30425</v>
      </c>
      <c r="B413" s="10">
        <v>30425</v>
      </c>
      <c r="C413" s="11">
        <v>0.105</v>
      </c>
      <c r="E413" s="15" t="str">
        <f t="shared" si="6"/>
        <v>2Q1983</v>
      </c>
      <c r="F413" s="16">
        <v>0.11213333333333335</v>
      </c>
      <c r="J413" s="15"/>
    </row>
    <row r="414" spans="1:10">
      <c r="A414" s="9">
        <f t="shared" si="7"/>
        <v>30455</v>
      </c>
      <c r="B414" s="10">
        <v>30455</v>
      </c>
      <c r="C414" s="11">
        <v>0.105</v>
      </c>
      <c r="E414" s="15" t="str">
        <f t="shared" si="6"/>
        <v>2Q1983</v>
      </c>
      <c r="F414" s="16">
        <v>0.11213333333333335</v>
      </c>
      <c r="J414" s="15"/>
    </row>
    <row r="415" spans="1:10">
      <c r="A415" s="9">
        <f t="shared" si="7"/>
        <v>30486</v>
      </c>
      <c r="B415" s="10">
        <v>30486</v>
      </c>
      <c r="C415" s="11">
        <v>0.105</v>
      </c>
      <c r="E415" s="15" t="str">
        <f t="shared" si="6"/>
        <v>2Q1983</v>
      </c>
      <c r="F415" s="16">
        <v>0.11213333333333335</v>
      </c>
      <c r="J415" s="15"/>
    </row>
    <row r="416" spans="1:10">
      <c r="A416" s="9">
        <f t="shared" si="7"/>
        <v>30516</v>
      </c>
      <c r="B416" s="10">
        <v>30516</v>
      </c>
      <c r="C416" s="11">
        <v>0.105</v>
      </c>
      <c r="E416" s="15" t="str">
        <f t="shared" si="6"/>
        <v>3Q1983</v>
      </c>
      <c r="F416" s="16">
        <v>0.105</v>
      </c>
      <c r="J416" s="15"/>
    </row>
    <row r="417" spans="1:10">
      <c r="A417" s="9">
        <f t="shared" si="7"/>
        <v>30547</v>
      </c>
      <c r="B417" s="10">
        <v>30547</v>
      </c>
      <c r="C417" s="11">
        <v>0.10890000000000001</v>
      </c>
      <c r="E417" s="15" t="str">
        <f t="shared" si="6"/>
        <v>3Q1983</v>
      </c>
      <c r="F417" s="16">
        <v>0.105</v>
      </c>
      <c r="J417" s="15"/>
    </row>
    <row r="418" spans="1:10">
      <c r="A418" s="9">
        <f t="shared" si="7"/>
        <v>30578</v>
      </c>
      <c r="B418" s="10">
        <v>30578</v>
      </c>
      <c r="C418" s="11">
        <v>0.11</v>
      </c>
      <c r="E418" s="15" t="str">
        <f t="shared" si="6"/>
        <v>3Q1983</v>
      </c>
      <c r="F418" s="16">
        <v>0.105</v>
      </c>
      <c r="J418" s="15"/>
    </row>
    <row r="419" spans="1:10">
      <c r="A419" s="9">
        <f t="shared" si="7"/>
        <v>30608</v>
      </c>
      <c r="B419" s="10">
        <v>30608</v>
      </c>
      <c r="C419" s="11">
        <v>0.11</v>
      </c>
      <c r="E419" s="15" t="str">
        <f t="shared" si="6"/>
        <v>4Q1983</v>
      </c>
      <c r="F419" s="16">
        <v>0.10630000000000001</v>
      </c>
      <c r="J419" s="15"/>
    </row>
    <row r="420" spans="1:10">
      <c r="A420" s="9">
        <f t="shared" si="7"/>
        <v>30639</v>
      </c>
      <c r="B420" s="10">
        <v>30639</v>
      </c>
      <c r="C420" s="11">
        <v>0.11</v>
      </c>
      <c r="E420" s="15" t="str">
        <f t="shared" si="6"/>
        <v>4Q1983</v>
      </c>
      <c r="F420" s="16">
        <v>0.10630000000000001</v>
      </c>
      <c r="J420" s="15"/>
    </row>
    <row r="421" spans="1:10">
      <c r="A421" s="9">
        <f t="shared" si="7"/>
        <v>30669</v>
      </c>
      <c r="B421" s="10">
        <v>30669</v>
      </c>
      <c r="C421" s="11">
        <v>0.11</v>
      </c>
      <c r="E421" s="15" t="str">
        <f t="shared" si="6"/>
        <v>4Q1983</v>
      </c>
      <c r="F421" s="16">
        <v>0.10630000000000001</v>
      </c>
      <c r="J421" s="15"/>
    </row>
    <row r="422" spans="1:10">
      <c r="A422" s="9">
        <f t="shared" si="7"/>
        <v>30700</v>
      </c>
      <c r="B422" s="10">
        <v>30700</v>
      </c>
      <c r="C422" s="11">
        <v>0.11</v>
      </c>
      <c r="E422" s="15" t="str">
        <f t="shared" si="6"/>
        <v>1Q1984</v>
      </c>
      <c r="F422" s="16">
        <v>0.11</v>
      </c>
      <c r="J422" s="15"/>
    </row>
    <row r="423" spans="1:10">
      <c r="A423" s="9">
        <f t="shared" si="7"/>
        <v>30731</v>
      </c>
      <c r="B423" s="10">
        <v>30731</v>
      </c>
      <c r="C423" s="11">
        <v>0.11</v>
      </c>
      <c r="E423" s="15" t="str">
        <f t="shared" si="6"/>
        <v>1Q1984</v>
      </c>
      <c r="F423" s="16">
        <v>0.11</v>
      </c>
      <c r="J423" s="15"/>
    </row>
    <row r="424" spans="1:10">
      <c r="A424" s="9">
        <f t="shared" si="7"/>
        <v>30760</v>
      </c>
      <c r="B424" s="10">
        <v>30760</v>
      </c>
      <c r="C424" s="11">
        <v>0.11210000000000001</v>
      </c>
      <c r="E424" s="15" t="str">
        <f t="shared" si="6"/>
        <v>1Q1984</v>
      </c>
      <c r="F424" s="16">
        <v>0.11</v>
      </c>
      <c r="J424" s="15"/>
    </row>
    <row r="425" spans="1:10">
      <c r="A425" s="9">
        <f t="shared" si="7"/>
        <v>30791</v>
      </c>
      <c r="B425" s="10">
        <v>30791</v>
      </c>
      <c r="C425" s="11">
        <v>0.1193</v>
      </c>
      <c r="E425" s="15" t="str">
        <f t="shared" si="6"/>
        <v>2Q1984</v>
      </c>
      <c r="F425" s="16">
        <v>0.11</v>
      </c>
      <c r="J425" s="15"/>
    </row>
    <row r="426" spans="1:10">
      <c r="A426" s="9">
        <f t="shared" si="7"/>
        <v>30821</v>
      </c>
      <c r="B426" s="10">
        <v>30821</v>
      </c>
      <c r="C426" s="11">
        <v>0.12390000000000001</v>
      </c>
      <c r="E426" s="15" t="str">
        <f t="shared" si="6"/>
        <v>2Q1984</v>
      </c>
      <c r="F426" s="16">
        <v>0.11</v>
      </c>
      <c r="J426" s="15"/>
    </row>
    <row r="427" spans="1:10">
      <c r="A427" s="9">
        <f t="shared" si="7"/>
        <v>30852</v>
      </c>
      <c r="B427" s="10">
        <v>30852</v>
      </c>
      <c r="C427" s="11">
        <v>0.126</v>
      </c>
      <c r="E427" s="15" t="str">
        <f t="shared" si="6"/>
        <v>2Q1984</v>
      </c>
      <c r="F427" s="16">
        <v>0.11</v>
      </c>
      <c r="J427" s="15"/>
    </row>
    <row r="428" spans="1:10">
      <c r="A428" s="9">
        <f t="shared" si="7"/>
        <v>30882</v>
      </c>
      <c r="B428" s="10">
        <v>30882</v>
      </c>
      <c r="C428" s="11">
        <v>0.13</v>
      </c>
      <c r="E428" s="15" t="str">
        <f t="shared" si="6"/>
        <v>3Q1984</v>
      </c>
      <c r="F428" s="16">
        <v>0.11843333333333333</v>
      </c>
      <c r="J428" s="15"/>
    </row>
    <row r="429" spans="1:10">
      <c r="A429" s="9">
        <f t="shared" si="7"/>
        <v>30913</v>
      </c>
      <c r="B429" s="10">
        <v>30913</v>
      </c>
      <c r="C429" s="11">
        <v>0.13</v>
      </c>
      <c r="E429" s="15" t="str">
        <f t="shared" si="6"/>
        <v>3Q1984</v>
      </c>
      <c r="F429" s="16">
        <v>0.11843333333333333</v>
      </c>
      <c r="J429" s="15"/>
    </row>
    <row r="430" spans="1:10">
      <c r="A430" s="9">
        <f t="shared" si="7"/>
        <v>30944</v>
      </c>
      <c r="B430" s="10">
        <v>30944</v>
      </c>
      <c r="C430" s="11">
        <v>0.12970000000000001</v>
      </c>
      <c r="E430" s="15" t="str">
        <f t="shared" si="6"/>
        <v>3Q1984</v>
      </c>
      <c r="F430" s="16">
        <v>0.11843333333333333</v>
      </c>
      <c r="J430" s="15"/>
    </row>
    <row r="431" spans="1:10">
      <c r="A431" s="9">
        <f t="shared" si="7"/>
        <v>30974</v>
      </c>
      <c r="B431" s="10">
        <v>30974</v>
      </c>
      <c r="C431" s="11">
        <v>0.1258</v>
      </c>
      <c r="E431" s="15" t="str">
        <f t="shared" si="6"/>
        <v>4Q1984</v>
      </c>
      <c r="F431" s="16">
        <v>0.12866666666666668</v>
      </c>
      <c r="J431" s="15"/>
    </row>
    <row r="432" spans="1:10">
      <c r="A432" s="9">
        <f t="shared" si="7"/>
        <v>31005</v>
      </c>
      <c r="B432" s="10">
        <v>31005</v>
      </c>
      <c r="C432" s="11">
        <v>0.1177</v>
      </c>
      <c r="E432" s="15" t="str">
        <f t="shared" si="6"/>
        <v>4Q1984</v>
      </c>
      <c r="F432" s="16">
        <v>0.12866666666666668</v>
      </c>
      <c r="J432" s="15"/>
    </row>
    <row r="433" spans="1:10">
      <c r="A433" s="9">
        <f t="shared" si="7"/>
        <v>31035</v>
      </c>
      <c r="B433" s="10">
        <v>31035</v>
      </c>
      <c r="C433" s="11">
        <v>0.1106</v>
      </c>
      <c r="E433" s="15" t="str">
        <f t="shared" si="6"/>
        <v>4Q1984</v>
      </c>
      <c r="F433" s="16">
        <v>0.12866666666666668</v>
      </c>
      <c r="J433" s="15"/>
    </row>
    <row r="434" spans="1:10">
      <c r="A434" s="9">
        <f t="shared" si="7"/>
        <v>31066</v>
      </c>
      <c r="B434" s="10">
        <v>31066</v>
      </c>
      <c r="C434" s="11">
        <v>0.1061</v>
      </c>
      <c r="E434" s="15" t="str">
        <f t="shared" si="6"/>
        <v>1Q1985</v>
      </c>
      <c r="F434" s="16">
        <v>0.1244</v>
      </c>
      <c r="J434" s="15"/>
    </row>
    <row r="435" spans="1:10">
      <c r="A435" s="9">
        <f t="shared" si="7"/>
        <v>31097</v>
      </c>
      <c r="B435" s="10">
        <v>31097</v>
      </c>
      <c r="C435" s="11">
        <v>0.105</v>
      </c>
      <c r="E435" s="15" t="str">
        <f t="shared" ref="E435:E498" si="8">IF(MONTH(B435)&lt;4,"1",IF(MONTH(B435)&lt;7,"2",IF(MONTH(B435)&lt;10,"3","4")))&amp;"Q"&amp;YEAR(B435)</f>
        <v>1Q1985</v>
      </c>
      <c r="F435" s="16">
        <v>0.1244</v>
      </c>
      <c r="J435" s="15"/>
    </row>
    <row r="436" spans="1:10">
      <c r="A436" s="9">
        <f t="shared" si="7"/>
        <v>31125</v>
      </c>
      <c r="B436" s="10">
        <v>31125</v>
      </c>
      <c r="C436" s="11">
        <v>0.105</v>
      </c>
      <c r="E436" s="15" t="str">
        <f t="shared" si="8"/>
        <v>1Q1985</v>
      </c>
      <c r="F436" s="16">
        <v>0.1244</v>
      </c>
      <c r="J436" s="15"/>
    </row>
    <row r="437" spans="1:10">
      <c r="A437" s="9">
        <f t="shared" si="7"/>
        <v>31156</v>
      </c>
      <c r="B437" s="10">
        <v>31156</v>
      </c>
      <c r="C437" s="11">
        <v>0.105</v>
      </c>
      <c r="E437" s="15" t="str">
        <f t="shared" si="8"/>
        <v>2Q1985</v>
      </c>
      <c r="F437" s="16">
        <v>0.10723333333333333</v>
      </c>
      <c r="J437" s="15"/>
    </row>
    <row r="438" spans="1:10">
      <c r="A438" s="9">
        <f t="shared" si="7"/>
        <v>31186</v>
      </c>
      <c r="B438" s="10">
        <v>31186</v>
      </c>
      <c r="C438" s="11">
        <v>0.10310000000000001</v>
      </c>
      <c r="E438" s="15" t="str">
        <f t="shared" si="8"/>
        <v>2Q1985</v>
      </c>
      <c r="F438" s="16">
        <v>0.10723333333333333</v>
      </c>
      <c r="J438" s="15"/>
    </row>
    <row r="439" spans="1:10">
      <c r="A439" s="9">
        <f t="shared" si="7"/>
        <v>31217</v>
      </c>
      <c r="B439" s="10">
        <v>31217</v>
      </c>
      <c r="C439" s="11">
        <v>9.7799999999999998E-2</v>
      </c>
      <c r="E439" s="15" t="str">
        <f t="shared" si="8"/>
        <v>2Q1985</v>
      </c>
      <c r="F439" s="16">
        <v>0.10723333333333333</v>
      </c>
      <c r="J439" s="15"/>
    </row>
    <row r="440" spans="1:10">
      <c r="A440" s="9">
        <f t="shared" si="7"/>
        <v>31247</v>
      </c>
      <c r="B440" s="10">
        <v>31247</v>
      </c>
      <c r="C440" s="11">
        <v>9.5000000000000001E-2</v>
      </c>
      <c r="E440" s="15" t="str">
        <f t="shared" si="8"/>
        <v>3Q1985</v>
      </c>
      <c r="F440" s="16">
        <v>0.10436666666666666</v>
      </c>
      <c r="J440" s="15"/>
    </row>
    <row r="441" spans="1:10">
      <c r="A441" s="9">
        <f t="shared" si="7"/>
        <v>31278</v>
      </c>
      <c r="B441" s="10">
        <v>31278</v>
      </c>
      <c r="C441" s="11">
        <v>9.5000000000000001E-2</v>
      </c>
      <c r="E441" s="15" t="str">
        <f t="shared" si="8"/>
        <v>3Q1985</v>
      </c>
      <c r="F441" s="16">
        <v>0.10436666666666666</v>
      </c>
      <c r="J441" s="15"/>
    </row>
    <row r="442" spans="1:10">
      <c r="A442" s="9">
        <f t="shared" si="7"/>
        <v>31309</v>
      </c>
      <c r="B442" s="10">
        <v>31309</v>
      </c>
      <c r="C442" s="11">
        <v>9.5000000000000001E-2</v>
      </c>
      <c r="E442" s="15" t="str">
        <f t="shared" si="8"/>
        <v>3Q1985</v>
      </c>
      <c r="F442" s="16">
        <v>0.10436666666666666</v>
      </c>
      <c r="J442" s="15"/>
    </row>
    <row r="443" spans="1:10">
      <c r="A443" s="9">
        <f t="shared" si="7"/>
        <v>31339</v>
      </c>
      <c r="B443" s="10">
        <v>31339</v>
      </c>
      <c r="C443" s="11">
        <v>9.5000000000000001E-2</v>
      </c>
      <c r="E443" s="15" t="str">
        <f t="shared" si="8"/>
        <v>4Q1985</v>
      </c>
      <c r="F443" s="16">
        <v>9.5933333333333329E-2</v>
      </c>
      <c r="J443" s="15"/>
    </row>
    <row r="444" spans="1:10">
      <c r="A444" s="9">
        <f t="shared" si="7"/>
        <v>31370</v>
      </c>
      <c r="B444" s="10">
        <v>31370</v>
      </c>
      <c r="C444" s="11">
        <v>9.5000000000000001E-2</v>
      </c>
      <c r="E444" s="15" t="str">
        <f t="shared" si="8"/>
        <v>4Q1985</v>
      </c>
      <c r="F444" s="16">
        <v>9.5933333333333329E-2</v>
      </c>
      <c r="J444" s="15"/>
    </row>
    <row r="445" spans="1:10">
      <c r="A445" s="9">
        <f t="shared" si="7"/>
        <v>31400</v>
      </c>
      <c r="B445" s="10">
        <v>31400</v>
      </c>
      <c r="C445" s="11">
        <v>9.5000000000000001E-2</v>
      </c>
      <c r="E445" s="15" t="str">
        <f t="shared" si="8"/>
        <v>4Q1985</v>
      </c>
      <c r="F445" s="16">
        <v>9.5933333333333329E-2</v>
      </c>
      <c r="J445" s="15"/>
    </row>
    <row r="446" spans="1:10">
      <c r="A446" s="9">
        <f t="shared" si="7"/>
        <v>31431</v>
      </c>
      <c r="B446" s="10">
        <v>31431</v>
      </c>
      <c r="C446" s="11">
        <v>9.5000000000000001E-2</v>
      </c>
      <c r="E446" s="15" t="str">
        <f t="shared" si="8"/>
        <v>1Q1986</v>
      </c>
      <c r="F446" s="16">
        <v>9.5000000000000001E-2</v>
      </c>
      <c r="J446" s="15"/>
    </row>
    <row r="447" spans="1:10">
      <c r="A447" s="9">
        <f t="shared" si="7"/>
        <v>31462</v>
      </c>
      <c r="B447" s="10">
        <v>31462</v>
      </c>
      <c r="C447" s="11">
        <v>9.5000000000000001E-2</v>
      </c>
      <c r="E447" s="15" t="str">
        <f t="shared" si="8"/>
        <v>1Q1986</v>
      </c>
      <c r="F447" s="16">
        <v>9.5000000000000001E-2</v>
      </c>
      <c r="J447" s="15"/>
    </row>
    <row r="448" spans="1:10">
      <c r="A448" s="9">
        <f t="shared" si="7"/>
        <v>31490</v>
      </c>
      <c r="B448" s="10">
        <v>31490</v>
      </c>
      <c r="C448" s="11">
        <v>9.0999999999999998E-2</v>
      </c>
      <c r="E448" s="15" t="str">
        <f t="shared" si="8"/>
        <v>1Q1986</v>
      </c>
      <c r="F448" s="16">
        <v>9.5000000000000001E-2</v>
      </c>
      <c r="J448" s="15"/>
    </row>
    <row r="449" spans="1:10">
      <c r="A449" s="9">
        <f t="shared" si="7"/>
        <v>31521</v>
      </c>
      <c r="B449" s="10">
        <v>31521</v>
      </c>
      <c r="C449" s="11">
        <v>8.8300000000000003E-2</v>
      </c>
      <c r="E449" s="15" t="str">
        <f t="shared" si="8"/>
        <v>2Q1986</v>
      </c>
      <c r="F449" s="16">
        <v>9.5000000000000001E-2</v>
      </c>
      <c r="J449" s="15"/>
    </row>
    <row r="450" spans="1:10">
      <c r="A450" s="9">
        <f t="shared" si="7"/>
        <v>31551</v>
      </c>
      <c r="B450" s="10">
        <v>31551</v>
      </c>
      <c r="C450" s="11">
        <v>8.5000000000000006E-2</v>
      </c>
      <c r="E450" s="15" t="str">
        <f t="shared" si="8"/>
        <v>2Q1986</v>
      </c>
      <c r="F450" s="16">
        <v>9.5000000000000001E-2</v>
      </c>
      <c r="J450" s="15"/>
    </row>
    <row r="451" spans="1:10">
      <c r="A451" s="9">
        <f t="shared" ref="A451:A514" si="9">+B451</f>
        <v>31582</v>
      </c>
      <c r="B451" s="10">
        <v>31582</v>
      </c>
      <c r="C451" s="11">
        <v>8.5000000000000006E-2</v>
      </c>
      <c r="E451" s="15" t="str">
        <f t="shared" si="8"/>
        <v>2Q1986</v>
      </c>
      <c r="F451" s="16">
        <v>9.5000000000000001E-2</v>
      </c>
      <c r="J451" s="15"/>
    </row>
    <row r="452" spans="1:10">
      <c r="A452" s="9">
        <f t="shared" si="9"/>
        <v>31612</v>
      </c>
      <c r="B452" s="10">
        <v>31612</v>
      </c>
      <c r="C452" s="11">
        <v>8.1600000000000006E-2</v>
      </c>
      <c r="E452" s="15" t="str">
        <f t="shared" si="8"/>
        <v>3Q1986</v>
      </c>
      <c r="F452" s="16">
        <v>8.8100000000000012E-2</v>
      </c>
      <c r="J452" s="15"/>
    </row>
    <row r="453" spans="1:10">
      <c r="A453" s="9">
        <f t="shared" si="9"/>
        <v>31643</v>
      </c>
      <c r="B453" s="10">
        <v>31643</v>
      </c>
      <c r="C453" s="11">
        <v>7.9000000000000001E-2</v>
      </c>
      <c r="E453" s="15" t="str">
        <f t="shared" si="8"/>
        <v>3Q1986</v>
      </c>
      <c r="F453" s="16">
        <v>8.8100000000000012E-2</v>
      </c>
      <c r="J453" s="15"/>
    </row>
    <row r="454" spans="1:10">
      <c r="A454" s="9">
        <f t="shared" si="9"/>
        <v>31674</v>
      </c>
      <c r="B454" s="10">
        <v>31674</v>
      </c>
      <c r="C454" s="11">
        <v>7.4999999999999997E-2</v>
      </c>
      <c r="E454" s="15" t="str">
        <f t="shared" si="8"/>
        <v>3Q1986</v>
      </c>
      <c r="F454" s="16">
        <v>8.8100000000000012E-2</v>
      </c>
      <c r="J454" s="15"/>
    </row>
    <row r="455" spans="1:10">
      <c r="A455" s="9">
        <f t="shared" si="9"/>
        <v>31704</v>
      </c>
      <c r="B455" s="10">
        <v>31704</v>
      </c>
      <c r="C455" s="11">
        <v>7.4999999999999997E-2</v>
      </c>
      <c r="E455" s="15" t="str">
        <f t="shared" si="8"/>
        <v>4Q1986</v>
      </c>
      <c r="F455" s="16">
        <v>8.1866666666666685E-2</v>
      </c>
      <c r="J455" s="15"/>
    </row>
    <row r="456" spans="1:10">
      <c r="A456" s="9">
        <f t="shared" si="9"/>
        <v>31735</v>
      </c>
      <c r="B456" s="10">
        <v>31735</v>
      </c>
      <c r="C456" s="11">
        <v>7.4999999999999997E-2</v>
      </c>
      <c r="E456" s="15" t="str">
        <f t="shared" si="8"/>
        <v>4Q1986</v>
      </c>
      <c r="F456" s="16">
        <v>8.1866666666666685E-2</v>
      </c>
      <c r="J456" s="15"/>
    </row>
    <row r="457" spans="1:10">
      <c r="A457" s="9">
        <f t="shared" si="9"/>
        <v>31765</v>
      </c>
      <c r="B457" s="10">
        <v>31765</v>
      </c>
      <c r="C457" s="11">
        <v>7.4999999999999997E-2</v>
      </c>
      <c r="E457" s="15" t="str">
        <f t="shared" si="8"/>
        <v>4Q1986</v>
      </c>
      <c r="F457" s="16">
        <v>8.1866666666666685E-2</v>
      </c>
      <c r="J457" s="15"/>
    </row>
    <row r="458" spans="1:10">
      <c r="A458" s="9">
        <f t="shared" si="9"/>
        <v>31796</v>
      </c>
      <c r="B458" s="10">
        <v>31796</v>
      </c>
      <c r="C458" s="11">
        <v>7.4999999999999997E-2</v>
      </c>
      <c r="E458" s="15" t="str">
        <f t="shared" si="8"/>
        <v>1Q1987</v>
      </c>
      <c r="F458" s="16">
        <v>7.4999999999999997E-2</v>
      </c>
      <c r="J458" s="15"/>
    </row>
    <row r="459" spans="1:10">
      <c r="A459" s="9">
        <f t="shared" si="9"/>
        <v>31827</v>
      </c>
      <c r="B459" s="10">
        <v>31827</v>
      </c>
      <c r="C459" s="11">
        <v>7.4999999999999997E-2</v>
      </c>
      <c r="E459" s="15" t="str">
        <f t="shared" si="8"/>
        <v>1Q1987</v>
      </c>
      <c r="F459" s="16">
        <v>7.4999999999999997E-2</v>
      </c>
      <c r="J459" s="15"/>
    </row>
    <row r="460" spans="1:10">
      <c r="A460" s="9">
        <f t="shared" si="9"/>
        <v>31855</v>
      </c>
      <c r="B460" s="10">
        <v>31855</v>
      </c>
      <c r="C460" s="11">
        <v>7.4999999999999997E-2</v>
      </c>
      <c r="E460" s="15" t="str">
        <f t="shared" si="8"/>
        <v>1Q1987</v>
      </c>
      <c r="F460" s="16">
        <v>7.4999999999999997E-2</v>
      </c>
      <c r="J460" s="15"/>
    </row>
    <row r="461" spans="1:10">
      <c r="A461" s="9">
        <f t="shared" si="9"/>
        <v>31886</v>
      </c>
      <c r="B461" s="10">
        <v>31886</v>
      </c>
      <c r="C461" s="11">
        <v>7.7499999999999999E-2</v>
      </c>
      <c r="E461" s="15" t="str">
        <f t="shared" si="8"/>
        <v>2Q1987</v>
      </c>
      <c r="F461" s="16">
        <v>7.4999999999999997E-2</v>
      </c>
      <c r="J461" s="15"/>
    </row>
    <row r="462" spans="1:10">
      <c r="A462" s="9">
        <f t="shared" si="9"/>
        <v>31916</v>
      </c>
      <c r="B462" s="10">
        <v>31916</v>
      </c>
      <c r="C462" s="11">
        <v>8.14E-2</v>
      </c>
      <c r="E462" s="15" t="str">
        <f t="shared" si="8"/>
        <v>2Q1987</v>
      </c>
      <c r="F462" s="16">
        <v>7.4999999999999997E-2</v>
      </c>
      <c r="J462" s="15"/>
    </row>
    <row r="463" spans="1:10">
      <c r="A463" s="9">
        <f t="shared" si="9"/>
        <v>31947</v>
      </c>
      <c r="B463" s="10">
        <v>31947</v>
      </c>
      <c r="C463" s="11">
        <v>8.2500000000000004E-2</v>
      </c>
      <c r="E463" s="15" t="str">
        <f t="shared" si="8"/>
        <v>2Q1987</v>
      </c>
      <c r="F463" s="16">
        <v>7.4999999999999997E-2</v>
      </c>
      <c r="J463" s="15"/>
    </row>
    <row r="464" spans="1:10">
      <c r="A464" s="9">
        <f t="shared" si="9"/>
        <v>31977</v>
      </c>
      <c r="B464" s="10">
        <v>31977</v>
      </c>
      <c r="C464" s="11">
        <v>8.2500000000000004E-2</v>
      </c>
      <c r="E464" s="15" t="str">
        <f t="shared" si="8"/>
        <v>3Q1987</v>
      </c>
      <c r="F464" s="16">
        <v>7.796666666666667E-2</v>
      </c>
      <c r="J464" s="15"/>
    </row>
    <row r="465" spans="1:10">
      <c r="A465" s="9">
        <f t="shared" si="9"/>
        <v>32008</v>
      </c>
      <c r="B465" s="10">
        <v>32008</v>
      </c>
      <c r="C465" s="11">
        <v>8.2500000000000004E-2</v>
      </c>
      <c r="E465" s="15" t="str">
        <f t="shared" si="8"/>
        <v>3Q1987</v>
      </c>
      <c r="F465" s="16">
        <v>7.796666666666667E-2</v>
      </c>
      <c r="J465" s="15"/>
    </row>
    <row r="466" spans="1:10">
      <c r="A466" s="9">
        <f t="shared" si="9"/>
        <v>32039</v>
      </c>
      <c r="B466" s="10">
        <v>32039</v>
      </c>
      <c r="C466" s="11">
        <v>8.6999999999999994E-2</v>
      </c>
      <c r="E466" s="15" t="str">
        <f t="shared" si="8"/>
        <v>3Q1987</v>
      </c>
      <c r="F466" s="16">
        <v>7.796666666666667E-2</v>
      </c>
      <c r="J466" s="15"/>
    </row>
    <row r="467" spans="1:10">
      <c r="A467" s="9">
        <f t="shared" si="9"/>
        <v>32069</v>
      </c>
      <c r="B467" s="10">
        <v>32069</v>
      </c>
      <c r="C467" s="11">
        <v>9.0700000000000003E-2</v>
      </c>
      <c r="E467" s="15" t="str">
        <f t="shared" si="8"/>
        <v>4Q1987</v>
      </c>
      <c r="F467" s="16">
        <v>8.2500000000000004E-2</v>
      </c>
      <c r="J467" s="15"/>
    </row>
    <row r="468" spans="1:10">
      <c r="A468" s="9">
        <f t="shared" si="9"/>
        <v>32100</v>
      </c>
      <c r="B468" s="10">
        <v>32100</v>
      </c>
      <c r="C468" s="11">
        <v>8.7799999999999989E-2</v>
      </c>
      <c r="E468" s="15" t="str">
        <f t="shared" si="8"/>
        <v>4Q1987</v>
      </c>
      <c r="F468" s="16">
        <v>8.2500000000000004E-2</v>
      </c>
      <c r="J468" s="15"/>
    </row>
    <row r="469" spans="1:10">
      <c r="A469" s="9">
        <f t="shared" si="9"/>
        <v>32130</v>
      </c>
      <c r="B469" s="10">
        <v>32130</v>
      </c>
      <c r="C469" s="11">
        <v>8.7499999999999994E-2</v>
      </c>
      <c r="E469" s="15" t="str">
        <f t="shared" si="8"/>
        <v>4Q1987</v>
      </c>
      <c r="F469" s="16">
        <v>8.2500000000000004E-2</v>
      </c>
      <c r="J469" s="15"/>
    </row>
    <row r="470" spans="1:10">
      <c r="A470" s="9">
        <f t="shared" si="9"/>
        <v>32161</v>
      </c>
      <c r="B470" s="10">
        <v>32161</v>
      </c>
      <c r="C470" s="11">
        <v>8.7499999999999994E-2</v>
      </c>
      <c r="E470" s="15" t="str">
        <f t="shared" si="8"/>
        <v>1Q1988</v>
      </c>
      <c r="F470" s="16">
        <v>8.8499999999999981E-2</v>
      </c>
      <c r="J470" s="15"/>
    </row>
    <row r="471" spans="1:10">
      <c r="A471" s="9">
        <f t="shared" si="9"/>
        <v>32192</v>
      </c>
      <c r="B471" s="10">
        <v>32192</v>
      </c>
      <c r="C471" s="11">
        <v>8.5099999999999995E-2</v>
      </c>
      <c r="E471" s="15" t="str">
        <f t="shared" si="8"/>
        <v>1Q1988</v>
      </c>
      <c r="F471" s="16">
        <v>8.8499999999999981E-2</v>
      </c>
      <c r="J471" s="15"/>
    </row>
    <row r="472" spans="1:10">
      <c r="A472" s="9">
        <f t="shared" si="9"/>
        <v>32221</v>
      </c>
      <c r="B472" s="10">
        <v>32221</v>
      </c>
      <c r="C472" s="11">
        <v>8.5000000000000006E-2</v>
      </c>
      <c r="E472" s="15" t="str">
        <f t="shared" si="8"/>
        <v>1Q1988</v>
      </c>
      <c r="F472" s="16">
        <v>8.8499999999999981E-2</v>
      </c>
      <c r="J472" s="15"/>
    </row>
    <row r="473" spans="1:10">
      <c r="A473" s="9">
        <f t="shared" si="9"/>
        <v>32252</v>
      </c>
      <c r="B473" s="10">
        <v>32252</v>
      </c>
      <c r="C473" s="11">
        <v>8.5000000000000006E-2</v>
      </c>
      <c r="E473" s="15" t="str">
        <f t="shared" si="8"/>
        <v>2Q1988</v>
      </c>
      <c r="F473" s="16">
        <v>8.6699999999999999E-2</v>
      </c>
      <c r="J473" s="15"/>
    </row>
    <row r="474" spans="1:10">
      <c r="A474" s="9">
        <f t="shared" si="9"/>
        <v>32282</v>
      </c>
      <c r="B474" s="10">
        <v>32282</v>
      </c>
      <c r="C474" s="11">
        <v>8.8399999999999992E-2</v>
      </c>
      <c r="E474" s="15" t="str">
        <f t="shared" si="8"/>
        <v>2Q1988</v>
      </c>
      <c r="F474" s="16">
        <v>8.6699999999999999E-2</v>
      </c>
      <c r="J474" s="15"/>
    </row>
    <row r="475" spans="1:10">
      <c r="A475" s="9">
        <f t="shared" si="9"/>
        <v>32313</v>
      </c>
      <c r="B475" s="10">
        <v>32313</v>
      </c>
      <c r="C475" s="11">
        <v>0.09</v>
      </c>
      <c r="E475" s="15" t="str">
        <f t="shared" si="8"/>
        <v>2Q1988</v>
      </c>
      <c r="F475" s="16">
        <v>8.6699999999999999E-2</v>
      </c>
      <c r="J475" s="15"/>
    </row>
    <row r="476" spans="1:10">
      <c r="A476" s="9">
        <f t="shared" si="9"/>
        <v>32343</v>
      </c>
      <c r="B476" s="10">
        <v>32343</v>
      </c>
      <c r="C476" s="11">
        <v>9.2899999999999996E-2</v>
      </c>
      <c r="E476" s="15" t="str">
        <f t="shared" si="8"/>
        <v>3Q1988</v>
      </c>
      <c r="F476" s="16">
        <v>8.613333333333334E-2</v>
      </c>
      <c r="J476" s="15"/>
    </row>
    <row r="477" spans="1:10">
      <c r="A477" s="9">
        <f t="shared" si="9"/>
        <v>32374</v>
      </c>
      <c r="B477" s="10">
        <v>32374</v>
      </c>
      <c r="C477" s="11">
        <v>9.8400000000000001E-2</v>
      </c>
      <c r="E477" s="15" t="str">
        <f t="shared" si="8"/>
        <v>3Q1988</v>
      </c>
      <c r="F477" s="16">
        <v>8.613333333333334E-2</v>
      </c>
      <c r="J477" s="15"/>
    </row>
    <row r="478" spans="1:10">
      <c r="A478" s="9">
        <f t="shared" si="9"/>
        <v>32405</v>
      </c>
      <c r="B478" s="10">
        <v>32405</v>
      </c>
      <c r="C478" s="11">
        <v>0.1</v>
      </c>
      <c r="E478" s="15" t="str">
        <f t="shared" si="8"/>
        <v>3Q1988</v>
      </c>
      <c r="F478" s="16">
        <v>8.613333333333334E-2</v>
      </c>
      <c r="J478" s="15"/>
    </row>
    <row r="479" spans="1:10">
      <c r="A479" s="9">
        <f t="shared" si="9"/>
        <v>32435</v>
      </c>
      <c r="B479" s="10">
        <v>32435</v>
      </c>
      <c r="C479" s="11">
        <v>0.1</v>
      </c>
      <c r="E479" s="15" t="str">
        <f t="shared" si="8"/>
        <v>4Q1988</v>
      </c>
      <c r="F479" s="16">
        <v>9.3766666666666665E-2</v>
      </c>
      <c r="J479" s="15"/>
    </row>
    <row r="480" spans="1:10">
      <c r="A480" s="9">
        <f t="shared" si="9"/>
        <v>32466</v>
      </c>
      <c r="B480" s="10">
        <v>32466</v>
      </c>
      <c r="C480" s="11">
        <v>0.10050000000000001</v>
      </c>
      <c r="E480" s="15" t="str">
        <f t="shared" si="8"/>
        <v>4Q1988</v>
      </c>
      <c r="F480" s="16">
        <v>9.3766666666666665E-2</v>
      </c>
      <c r="J480" s="15"/>
    </row>
    <row r="481" spans="1:10">
      <c r="A481" s="9">
        <f t="shared" si="9"/>
        <v>32496</v>
      </c>
      <c r="B481" s="10">
        <v>32496</v>
      </c>
      <c r="C481" s="11">
        <v>0.105</v>
      </c>
      <c r="E481" s="15" t="str">
        <f t="shared" si="8"/>
        <v>4Q1988</v>
      </c>
      <c r="F481" s="16">
        <v>9.3766666666666665E-2</v>
      </c>
      <c r="J481" s="15"/>
    </row>
    <row r="482" spans="1:10">
      <c r="A482" s="9">
        <f t="shared" si="9"/>
        <v>32527</v>
      </c>
      <c r="B482" s="10">
        <v>32527</v>
      </c>
      <c r="C482" s="11">
        <v>0.105</v>
      </c>
      <c r="E482" s="15" t="str">
        <f t="shared" si="8"/>
        <v>1Q1989</v>
      </c>
      <c r="F482" s="16">
        <v>0.10016666666666667</v>
      </c>
      <c r="J482" s="15"/>
    </row>
    <row r="483" spans="1:10">
      <c r="A483" s="9">
        <f t="shared" si="9"/>
        <v>32558</v>
      </c>
      <c r="B483" s="10">
        <v>32558</v>
      </c>
      <c r="C483" s="11">
        <v>0.10929999999999999</v>
      </c>
      <c r="E483" s="15" t="str">
        <f t="shared" si="8"/>
        <v>1Q1989</v>
      </c>
      <c r="F483" s="16">
        <v>0.10016666666666667</v>
      </c>
      <c r="J483" s="15"/>
    </row>
    <row r="484" spans="1:10">
      <c r="A484" s="9">
        <f t="shared" si="9"/>
        <v>32586</v>
      </c>
      <c r="B484" s="10">
        <v>32586</v>
      </c>
      <c r="C484" s="11">
        <v>0.115</v>
      </c>
      <c r="E484" s="15" t="str">
        <f t="shared" si="8"/>
        <v>1Q1989</v>
      </c>
      <c r="F484" s="16">
        <v>0.10016666666666667</v>
      </c>
      <c r="J484" s="15"/>
    </row>
    <row r="485" spans="1:10">
      <c r="A485" s="9">
        <f t="shared" si="9"/>
        <v>32617</v>
      </c>
      <c r="B485" s="10">
        <v>32617</v>
      </c>
      <c r="C485" s="11">
        <v>0.115</v>
      </c>
      <c r="E485" s="15" t="str">
        <f t="shared" si="8"/>
        <v>2Q1989</v>
      </c>
      <c r="F485" s="16">
        <v>0.10643333333333332</v>
      </c>
      <c r="J485" s="15"/>
    </row>
    <row r="486" spans="1:10">
      <c r="A486" s="9">
        <f t="shared" si="9"/>
        <v>32647</v>
      </c>
      <c r="B486" s="10">
        <v>32647</v>
      </c>
      <c r="C486" s="11">
        <v>0.115</v>
      </c>
      <c r="E486" s="15" t="str">
        <f t="shared" si="8"/>
        <v>2Q1989</v>
      </c>
      <c r="F486" s="16">
        <v>0.10643333333333332</v>
      </c>
      <c r="J486" s="15"/>
    </row>
    <row r="487" spans="1:10">
      <c r="A487" s="9">
        <f t="shared" si="9"/>
        <v>32678</v>
      </c>
      <c r="B487" s="10">
        <v>32678</v>
      </c>
      <c r="C487" s="11">
        <v>0.11070000000000001</v>
      </c>
      <c r="E487" s="15" t="str">
        <f t="shared" si="8"/>
        <v>2Q1989</v>
      </c>
      <c r="F487" s="16">
        <v>0.10643333333333332</v>
      </c>
      <c r="J487" s="15"/>
    </row>
    <row r="488" spans="1:10">
      <c r="A488" s="9">
        <f t="shared" si="9"/>
        <v>32708</v>
      </c>
      <c r="B488" s="10">
        <v>32708</v>
      </c>
      <c r="C488" s="11">
        <v>0.10980000000000001</v>
      </c>
      <c r="E488" s="15" t="str">
        <f t="shared" si="8"/>
        <v>3Q1989</v>
      </c>
      <c r="F488" s="16">
        <v>0.115</v>
      </c>
      <c r="J488" s="15"/>
    </row>
    <row r="489" spans="1:10">
      <c r="A489" s="9">
        <f t="shared" si="9"/>
        <v>32739</v>
      </c>
      <c r="B489" s="10">
        <v>32739</v>
      </c>
      <c r="C489" s="11">
        <v>0.105</v>
      </c>
      <c r="E489" s="15" t="str">
        <f t="shared" si="8"/>
        <v>3Q1989</v>
      </c>
      <c r="F489" s="16">
        <v>0.115</v>
      </c>
      <c r="J489" s="15"/>
    </row>
    <row r="490" spans="1:10">
      <c r="A490" s="9">
        <f t="shared" si="9"/>
        <v>32770</v>
      </c>
      <c r="B490" s="10">
        <v>32770</v>
      </c>
      <c r="C490" s="11">
        <v>0.105</v>
      </c>
      <c r="E490" s="15" t="str">
        <f t="shared" si="8"/>
        <v>3Q1989</v>
      </c>
      <c r="F490" s="16">
        <v>0.115</v>
      </c>
      <c r="J490" s="15"/>
    </row>
    <row r="491" spans="1:10">
      <c r="A491" s="9">
        <f t="shared" si="9"/>
        <v>32800</v>
      </c>
      <c r="B491" s="10">
        <v>32800</v>
      </c>
      <c r="C491" s="11">
        <v>0.105</v>
      </c>
      <c r="E491" s="15" t="str">
        <f t="shared" si="8"/>
        <v>4Q1989</v>
      </c>
      <c r="F491" s="16">
        <v>0.1085</v>
      </c>
      <c r="J491" s="15"/>
    </row>
    <row r="492" spans="1:10">
      <c r="A492" s="9">
        <f t="shared" si="9"/>
        <v>32831</v>
      </c>
      <c r="B492" s="10">
        <v>32831</v>
      </c>
      <c r="C492" s="11">
        <v>0.105</v>
      </c>
      <c r="E492" s="15" t="str">
        <f t="shared" si="8"/>
        <v>4Q1989</v>
      </c>
      <c r="F492" s="16">
        <v>0.1085</v>
      </c>
      <c r="J492" s="15"/>
    </row>
    <row r="493" spans="1:10">
      <c r="A493" s="9">
        <f t="shared" si="9"/>
        <v>32861</v>
      </c>
      <c r="B493" s="10">
        <v>32861</v>
      </c>
      <c r="C493" s="11">
        <v>0.105</v>
      </c>
      <c r="E493" s="15" t="str">
        <f t="shared" si="8"/>
        <v>4Q1989</v>
      </c>
      <c r="F493" s="16">
        <v>0.1085</v>
      </c>
      <c r="J493" s="15"/>
    </row>
    <row r="494" spans="1:10">
      <c r="A494" s="9">
        <f t="shared" si="9"/>
        <v>32892</v>
      </c>
      <c r="B494" s="10">
        <v>32892</v>
      </c>
      <c r="C494" s="11">
        <v>0.1011</v>
      </c>
      <c r="E494" s="15" t="str">
        <f t="shared" si="8"/>
        <v>1Q1990</v>
      </c>
      <c r="F494" s="16">
        <v>0.105</v>
      </c>
      <c r="J494" s="15"/>
    </row>
    <row r="495" spans="1:10">
      <c r="A495" s="9">
        <f t="shared" si="9"/>
        <v>32923</v>
      </c>
      <c r="B495" s="10">
        <v>32923</v>
      </c>
      <c r="C495" s="11">
        <v>0.1</v>
      </c>
      <c r="E495" s="15" t="str">
        <f t="shared" si="8"/>
        <v>1Q1990</v>
      </c>
      <c r="F495" s="16">
        <v>0.105</v>
      </c>
      <c r="J495" s="15"/>
    </row>
    <row r="496" spans="1:10">
      <c r="A496" s="9">
        <f t="shared" si="9"/>
        <v>32951</v>
      </c>
      <c r="B496" s="10">
        <v>32951</v>
      </c>
      <c r="C496" s="11">
        <v>0.1</v>
      </c>
      <c r="E496" s="15" t="str">
        <f t="shared" si="8"/>
        <v>1Q1990</v>
      </c>
      <c r="F496" s="16">
        <v>0.105</v>
      </c>
      <c r="J496" s="15"/>
    </row>
    <row r="497" spans="1:10">
      <c r="A497" s="9">
        <f t="shared" si="9"/>
        <v>32982</v>
      </c>
      <c r="B497" s="10">
        <v>32982</v>
      </c>
      <c r="C497" s="11">
        <v>0.1</v>
      </c>
      <c r="E497" s="15" t="str">
        <f t="shared" si="8"/>
        <v>2Q1990</v>
      </c>
      <c r="F497" s="16">
        <v>0.10203333333333335</v>
      </c>
      <c r="J497" s="15"/>
    </row>
    <row r="498" spans="1:10">
      <c r="A498" s="9">
        <f t="shared" si="9"/>
        <v>33012</v>
      </c>
      <c r="B498" s="10">
        <v>33012</v>
      </c>
      <c r="C498" s="11">
        <v>0.1</v>
      </c>
      <c r="E498" s="15" t="str">
        <f t="shared" si="8"/>
        <v>2Q1990</v>
      </c>
      <c r="F498" s="16">
        <v>0.10203333333333335</v>
      </c>
      <c r="J498" s="15"/>
    </row>
    <row r="499" spans="1:10">
      <c r="A499" s="9">
        <f t="shared" si="9"/>
        <v>33043</v>
      </c>
      <c r="B499" s="10">
        <v>33043</v>
      </c>
      <c r="C499" s="11">
        <v>0.1</v>
      </c>
      <c r="E499" s="15" t="str">
        <f t="shared" ref="E499:E562" si="10">IF(MONTH(B499)&lt;4,"1",IF(MONTH(B499)&lt;7,"2",IF(MONTH(B499)&lt;10,"3","4")))&amp;"Q"&amp;YEAR(B499)</f>
        <v>2Q1990</v>
      </c>
      <c r="F499" s="16">
        <v>0.10203333333333335</v>
      </c>
      <c r="J499" s="15"/>
    </row>
    <row r="500" spans="1:10">
      <c r="A500" s="9">
        <f t="shared" si="9"/>
        <v>33073</v>
      </c>
      <c r="B500" s="10">
        <v>33073</v>
      </c>
      <c r="C500" s="11">
        <v>0.1</v>
      </c>
      <c r="E500" s="15" t="str">
        <f t="shared" si="10"/>
        <v>3Q1990</v>
      </c>
      <c r="F500" s="16">
        <v>0.1</v>
      </c>
      <c r="J500" s="15"/>
    </row>
    <row r="501" spans="1:10">
      <c r="A501" s="9">
        <f t="shared" si="9"/>
        <v>33104</v>
      </c>
      <c r="B501" s="10">
        <v>33104</v>
      </c>
      <c r="C501" s="11">
        <v>0.1</v>
      </c>
      <c r="E501" s="15" t="str">
        <f t="shared" si="10"/>
        <v>3Q1990</v>
      </c>
      <c r="F501" s="16">
        <v>0.1</v>
      </c>
      <c r="J501" s="15"/>
    </row>
    <row r="502" spans="1:10">
      <c r="A502" s="9">
        <f t="shared" si="9"/>
        <v>33135</v>
      </c>
      <c r="B502" s="10">
        <v>33135</v>
      </c>
      <c r="C502" s="11">
        <v>0.1</v>
      </c>
      <c r="E502" s="15" t="str">
        <f t="shared" si="10"/>
        <v>3Q1990</v>
      </c>
      <c r="F502" s="16">
        <v>0.1</v>
      </c>
      <c r="J502" s="15"/>
    </row>
    <row r="503" spans="1:10">
      <c r="A503" s="9">
        <f t="shared" si="9"/>
        <v>33165</v>
      </c>
      <c r="B503" s="10">
        <v>33165</v>
      </c>
      <c r="C503" s="11">
        <v>0.1</v>
      </c>
      <c r="E503" s="15" t="str">
        <f t="shared" si="10"/>
        <v>4Q1990</v>
      </c>
      <c r="F503" s="16">
        <v>0.1</v>
      </c>
      <c r="J503" s="15"/>
    </row>
    <row r="504" spans="1:10">
      <c r="A504" s="9">
        <f t="shared" si="9"/>
        <v>33196</v>
      </c>
      <c r="B504" s="10">
        <v>33196</v>
      </c>
      <c r="C504" s="11">
        <v>0.1</v>
      </c>
      <c r="E504" s="15" t="str">
        <f t="shared" si="10"/>
        <v>4Q1990</v>
      </c>
      <c r="F504" s="16">
        <v>0.1</v>
      </c>
      <c r="J504" s="15"/>
    </row>
    <row r="505" spans="1:10">
      <c r="A505" s="9">
        <f t="shared" si="9"/>
        <v>33226</v>
      </c>
      <c r="B505" s="10">
        <v>33226</v>
      </c>
      <c r="C505" s="11">
        <v>0.1</v>
      </c>
      <c r="E505" s="15" t="str">
        <f t="shared" si="10"/>
        <v>4Q1990</v>
      </c>
      <c r="F505" s="16">
        <v>0.1</v>
      </c>
      <c r="J505" s="15"/>
    </row>
    <row r="506" spans="1:10">
      <c r="A506" s="9">
        <f t="shared" si="9"/>
        <v>33257</v>
      </c>
      <c r="B506" s="10">
        <v>33257</v>
      </c>
      <c r="C506" s="11">
        <v>9.5199999999999993E-2</v>
      </c>
      <c r="E506" s="15" t="str">
        <f t="shared" si="10"/>
        <v>1Q1991</v>
      </c>
      <c r="F506" s="16">
        <v>0.1</v>
      </c>
      <c r="J506" s="15"/>
    </row>
    <row r="507" spans="1:10">
      <c r="A507" s="9">
        <f t="shared" si="9"/>
        <v>33288</v>
      </c>
      <c r="B507" s="10">
        <v>33288</v>
      </c>
      <c r="C507" s="11">
        <v>9.0500000000000011E-2</v>
      </c>
      <c r="E507" s="15" t="str">
        <f t="shared" si="10"/>
        <v>1Q1991</v>
      </c>
      <c r="F507" s="16">
        <v>0.1</v>
      </c>
      <c r="J507" s="15"/>
    </row>
    <row r="508" spans="1:10">
      <c r="A508" s="9">
        <f t="shared" si="9"/>
        <v>33316</v>
      </c>
      <c r="B508" s="10">
        <v>33316</v>
      </c>
      <c r="C508" s="11">
        <v>0.09</v>
      </c>
      <c r="E508" s="15" t="str">
        <f t="shared" si="10"/>
        <v>1Q1991</v>
      </c>
      <c r="F508" s="16">
        <v>0.1</v>
      </c>
      <c r="J508" s="15"/>
    </row>
    <row r="509" spans="1:10">
      <c r="A509" s="9">
        <f t="shared" si="9"/>
        <v>33347</v>
      </c>
      <c r="B509" s="10">
        <v>33347</v>
      </c>
      <c r="C509" s="11">
        <v>0.09</v>
      </c>
      <c r="E509" s="15" t="str">
        <f t="shared" si="10"/>
        <v>2Q1991</v>
      </c>
      <c r="F509" s="16">
        <v>9.5233333333333337E-2</v>
      </c>
      <c r="J509" s="15"/>
    </row>
    <row r="510" spans="1:10">
      <c r="A510" s="9">
        <f t="shared" si="9"/>
        <v>33377</v>
      </c>
      <c r="B510" s="10">
        <v>33377</v>
      </c>
      <c r="C510" s="11">
        <v>8.5000000000000006E-2</v>
      </c>
      <c r="E510" s="15" t="str">
        <f t="shared" si="10"/>
        <v>2Q1991</v>
      </c>
      <c r="F510" s="16">
        <v>9.5233333333333337E-2</v>
      </c>
      <c r="J510" s="15"/>
    </row>
    <row r="511" spans="1:10">
      <c r="A511" s="9">
        <f t="shared" si="9"/>
        <v>33408</v>
      </c>
      <c r="B511" s="10">
        <v>33408</v>
      </c>
      <c r="C511" s="11">
        <v>8.5000000000000006E-2</v>
      </c>
      <c r="E511" s="15" t="str">
        <f t="shared" si="10"/>
        <v>2Q1991</v>
      </c>
      <c r="F511" s="16">
        <v>9.5233333333333337E-2</v>
      </c>
      <c r="J511" s="15"/>
    </row>
    <row r="512" spans="1:10">
      <c r="A512" s="9">
        <f t="shared" si="9"/>
        <v>33438</v>
      </c>
      <c r="B512" s="10">
        <v>33438</v>
      </c>
      <c r="C512" s="11">
        <v>8.5000000000000006E-2</v>
      </c>
      <c r="E512" s="15" t="str">
        <f t="shared" si="10"/>
        <v>3Q1991</v>
      </c>
      <c r="F512" s="16">
        <v>8.8333333333333333E-2</v>
      </c>
      <c r="J512" s="15"/>
    </row>
    <row r="513" spans="1:10">
      <c r="A513" s="9">
        <f t="shared" si="9"/>
        <v>33469</v>
      </c>
      <c r="B513" s="10">
        <v>33469</v>
      </c>
      <c r="C513" s="11">
        <v>8.5000000000000006E-2</v>
      </c>
      <c r="E513" s="15" t="str">
        <f t="shared" si="10"/>
        <v>3Q1991</v>
      </c>
      <c r="F513" s="16">
        <v>8.8333333333333333E-2</v>
      </c>
      <c r="J513" s="15"/>
    </row>
    <row r="514" spans="1:10">
      <c r="A514" s="9">
        <f t="shared" si="9"/>
        <v>33500</v>
      </c>
      <c r="B514" s="10">
        <v>33500</v>
      </c>
      <c r="C514" s="11">
        <v>8.199999999999999E-2</v>
      </c>
      <c r="E514" s="15" t="str">
        <f t="shared" si="10"/>
        <v>3Q1991</v>
      </c>
      <c r="F514" s="16">
        <v>8.8333333333333333E-2</v>
      </c>
      <c r="J514" s="15"/>
    </row>
    <row r="515" spans="1:10">
      <c r="A515" s="9">
        <f t="shared" ref="A515:A578" si="11">+B515</f>
        <v>33530</v>
      </c>
      <c r="B515" s="10">
        <v>33530</v>
      </c>
      <c r="C515" s="11">
        <v>0.08</v>
      </c>
      <c r="E515" s="15" t="str">
        <f t="shared" si="10"/>
        <v>4Q1991</v>
      </c>
      <c r="F515" s="16">
        <v>8.5000000000000006E-2</v>
      </c>
      <c r="J515" s="15"/>
    </row>
    <row r="516" spans="1:10">
      <c r="A516" s="9">
        <f t="shared" si="11"/>
        <v>33561</v>
      </c>
      <c r="B516" s="10">
        <v>33561</v>
      </c>
      <c r="C516" s="11">
        <v>7.5800000000000006E-2</v>
      </c>
      <c r="E516" s="15" t="str">
        <f t="shared" si="10"/>
        <v>4Q1991</v>
      </c>
      <c r="F516" s="16">
        <v>8.5000000000000006E-2</v>
      </c>
      <c r="J516" s="15"/>
    </row>
    <row r="517" spans="1:10">
      <c r="A517" s="9">
        <f t="shared" si="11"/>
        <v>33591</v>
      </c>
      <c r="B517" s="10">
        <v>33591</v>
      </c>
      <c r="C517" s="11">
        <v>7.2099999999999997E-2</v>
      </c>
      <c r="E517" s="15" t="str">
        <f t="shared" si="10"/>
        <v>4Q1991</v>
      </c>
      <c r="F517" s="16">
        <v>8.5000000000000006E-2</v>
      </c>
      <c r="J517" s="15"/>
    </row>
    <row r="518" spans="1:10">
      <c r="A518" s="9">
        <f t="shared" si="11"/>
        <v>33622</v>
      </c>
      <c r="B518" s="10">
        <v>33622</v>
      </c>
      <c r="C518" s="11">
        <v>6.5000000000000002E-2</v>
      </c>
      <c r="E518" s="15" t="str">
        <f t="shared" si="10"/>
        <v>1Q1992</v>
      </c>
      <c r="F518" s="16">
        <v>7.9266666666666666E-2</v>
      </c>
      <c r="J518" s="15"/>
    </row>
    <row r="519" spans="1:10">
      <c r="A519" s="9">
        <f t="shared" si="11"/>
        <v>33653</v>
      </c>
      <c r="B519" s="10">
        <v>33653</v>
      </c>
      <c r="C519" s="11">
        <v>6.5000000000000002E-2</v>
      </c>
      <c r="E519" s="15" t="str">
        <f t="shared" si="10"/>
        <v>1Q1992</v>
      </c>
      <c r="F519" s="16">
        <v>7.9266666666666666E-2</v>
      </c>
      <c r="J519" s="15"/>
    </row>
    <row r="520" spans="1:10">
      <c r="A520" s="9">
        <f t="shared" si="11"/>
        <v>33682</v>
      </c>
      <c r="B520" s="10">
        <v>33682</v>
      </c>
      <c r="C520" s="11">
        <v>6.5000000000000002E-2</v>
      </c>
      <c r="E520" s="15" t="str">
        <f t="shared" si="10"/>
        <v>1Q1992</v>
      </c>
      <c r="F520" s="16">
        <v>7.9266666666666666E-2</v>
      </c>
      <c r="J520" s="15"/>
    </row>
    <row r="521" spans="1:10">
      <c r="A521" s="9">
        <f t="shared" si="11"/>
        <v>33713</v>
      </c>
      <c r="B521" s="10">
        <v>33713</v>
      </c>
      <c r="C521" s="11">
        <v>6.5000000000000002E-2</v>
      </c>
      <c r="E521" s="15" t="str">
        <f t="shared" si="10"/>
        <v>2Q1992</v>
      </c>
      <c r="F521" s="16">
        <v>6.7366666666666672E-2</v>
      </c>
      <c r="J521" s="15"/>
    </row>
    <row r="522" spans="1:10">
      <c r="A522" s="9">
        <f t="shared" si="11"/>
        <v>33743</v>
      </c>
      <c r="B522" s="10">
        <v>33743</v>
      </c>
      <c r="C522" s="11">
        <v>6.5000000000000002E-2</v>
      </c>
      <c r="E522" s="15" t="str">
        <f t="shared" si="10"/>
        <v>2Q1992</v>
      </c>
      <c r="F522" s="16">
        <v>6.7366666666666672E-2</v>
      </c>
      <c r="J522" s="15"/>
    </row>
    <row r="523" spans="1:10">
      <c r="A523" s="9">
        <f t="shared" si="11"/>
        <v>33774</v>
      </c>
      <c r="B523" s="10">
        <v>33774</v>
      </c>
      <c r="C523" s="11">
        <v>6.5000000000000002E-2</v>
      </c>
      <c r="E523" s="15" t="str">
        <f t="shared" si="10"/>
        <v>2Q1992</v>
      </c>
      <c r="F523" s="16">
        <v>6.7366666666666672E-2</v>
      </c>
      <c r="J523" s="15"/>
    </row>
    <row r="524" spans="1:10">
      <c r="A524" s="9">
        <f t="shared" si="11"/>
        <v>33804</v>
      </c>
      <c r="B524" s="10">
        <v>33804</v>
      </c>
      <c r="C524" s="11">
        <v>6.0199999999999997E-2</v>
      </c>
      <c r="E524" s="15" t="str">
        <f t="shared" si="10"/>
        <v>3Q1992</v>
      </c>
      <c r="F524" s="16">
        <v>6.5000000000000002E-2</v>
      </c>
      <c r="J524" s="15"/>
    </row>
    <row r="525" spans="1:10">
      <c r="A525" s="9">
        <f t="shared" si="11"/>
        <v>33835</v>
      </c>
      <c r="B525" s="10">
        <v>33835</v>
      </c>
      <c r="C525" s="11">
        <v>0.06</v>
      </c>
      <c r="E525" s="15" t="str">
        <f t="shared" si="10"/>
        <v>3Q1992</v>
      </c>
      <c r="F525" s="16">
        <v>6.5000000000000002E-2</v>
      </c>
      <c r="J525" s="15"/>
    </row>
    <row r="526" spans="1:10">
      <c r="A526" s="9">
        <f t="shared" si="11"/>
        <v>33866</v>
      </c>
      <c r="B526" s="10">
        <v>33866</v>
      </c>
      <c r="C526" s="11">
        <v>0.06</v>
      </c>
      <c r="E526" s="15" t="str">
        <f t="shared" si="10"/>
        <v>3Q1992</v>
      </c>
      <c r="F526" s="16">
        <v>6.5000000000000002E-2</v>
      </c>
      <c r="J526" s="15"/>
    </row>
    <row r="527" spans="1:10">
      <c r="A527" s="9">
        <f t="shared" si="11"/>
        <v>33896</v>
      </c>
      <c r="B527" s="10">
        <v>33896</v>
      </c>
      <c r="C527" s="11">
        <v>0.06</v>
      </c>
      <c r="E527" s="15" t="str">
        <f t="shared" si="10"/>
        <v>4Q1992</v>
      </c>
      <c r="F527" s="16">
        <v>6.1733333333333335E-2</v>
      </c>
      <c r="J527" s="15"/>
    </row>
    <row r="528" spans="1:10">
      <c r="A528" s="9">
        <f t="shared" si="11"/>
        <v>33927</v>
      </c>
      <c r="B528" s="10">
        <v>33927</v>
      </c>
      <c r="C528" s="11">
        <v>0.06</v>
      </c>
      <c r="E528" s="15" t="str">
        <f t="shared" si="10"/>
        <v>4Q1992</v>
      </c>
      <c r="F528" s="16">
        <v>6.1733333333333335E-2</v>
      </c>
      <c r="J528" s="15"/>
    </row>
    <row r="529" spans="1:10">
      <c r="A529" s="9">
        <f t="shared" si="11"/>
        <v>33957</v>
      </c>
      <c r="B529" s="10">
        <v>33957</v>
      </c>
      <c r="C529" s="11">
        <v>0.06</v>
      </c>
      <c r="E529" s="15" t="str">
        <f t="shared" si="10"/>
        <v>4Q1992</v>
      </c>
      <c r="F529" s="16">
        <v>6.1733333333333335E-2</v>
      </c>
      <c r="J529" s="15"/>
    </row>
    <row r="530" spans="1:10">
      <c r="A530" s="9">
        <f t="shared" si="11"/>
        <v>33988</v>
      </c>
      <c r="B530" s="10">
        <v>33988</v>
      </c>
      <c r="C530" s="11">
        <v>0.06</v>
      </c>
      <c r="E530" s="15" t="str">
        <f t="shared" si="10"/>
        <v>1Q1993</v>
      </c>
      <c r="F530" s="16">
        <v>0.06</v>
      </c>
      <c r="J530" s="15"/>
    </row>
    <row r="531" spans="1:10">
      <c r="A531" s="9">
        <f t="shared" si="11"/>
        <v>34019</v>
      </c>
      <c r="B531" s="10">
        <v>34019</v>
      </c>
      <c r="C531" s="11">
        <v>0.06</v>
      </c>
      <c r="E531" s="15" t="str">
        <f t="shared" si="10"/>
        <v>1Q1993</v>
      </c>
      <c r="F531" s="16">
        <v>0.06</v>
      </c>
      <c r="J531" s="15"/>
    </row>
    <row r="532" spans="1:10">
      <c r="A532" s="9">
        <f t="shared" si="11"/>
        <v>34047</v>
      </c>
      <c r="B532" s="10">
        <v>34047</v>
      </c>
      <c r="C532" s="11">
        <v>0.06</v>
      </c>
      <c r="E532" s="15" t="str">
        <f t="shared" si="10"/>
        <v>1Q1993</v>
      </c>
      <c r="F532" s="16">
        <v>0.06</v>
      </c>
      <c r="J532" s="15"/>
    </row>
    <row r="533" spans="1:10">
      <c r="A533" s="9">
        <f t="shared" si="11"/>
        <v>34078</v>
      </c>
      <c r="B533" s="10">
        <v>34078</v>
      </c>
      <c r="C533" s="11">
        <v>0.06</v>
      </c>
      <c r="E533" s="15" t="str">
        <f t="shared" si="10"/>
        <v>2Q1993</v>
      </c>
      <c r="F533" s="16">
        <v>0.06</v>
      </c>
      <c r="J533" s="15"/>
    </row>
    <row r="534" spans="1:10">
      <c r="A534" s="9">
        <f t="shared" si="11"/>
        <v>34108</v>
      </c>
      <c r="B534" s="10">
        <v>34108</v>
      </c>
      <c r="C534" s="11">
        <v>0.06</v>
      </c>
      <c r="E534" s="15" t="str">
        <f t="shared" si="10"/>
        <v>2Q1993</v>
      </c>
      <c r="F534" s="16">
        <v>0.06</v>
      </c>
      <c r="J534" s="15"/>
    </row>
    <row r="535" spans="1:10">
      <c r="A535" s="9">
        <f t="shared" si="11"/>
        <v>34139</v>
      </c>
      <c r="B535" s="10">
        <v>34139</v>
      </c>
      <c r="C535" s="11">
        <v>0.06</v>
      </c>
      <c r="E535" s="15" t="str">
        <f t="shared" si="10"/>
        <v>2Q1993</v>
      </c>
      <c r="F535" s="16">
        <v>0.06</v>
      </c>
      <c r="J535" s="15"/>
    </row>
    <row r="536" spans="1:10">
      <c r="A536" s="9">
        <f t="shared" si="11"/>
        <v>34169</v>
      </c>
      <c r="B536" s="10">
        <v>34169</v>
      </c>
      <c r="C536" s="11">
        <v>0.06</v>
      </c>
      <c r="E536" s="15" t="str">
        <f t="shared" si="10"/>
        <v>3Q1993</v>
      </c>
      <c r="F536" s="16">
        <v>0.06</v>
      </c>
      <c r="J536" s="15"/>
    </row>
    <row r="537" spans="1:10">
      <c r="A537" s="9">
        <f t="shared" si="11"/>
        <v>34200</v>
      </c>
      <c r="B537" s="10">
        <v>34200</v>
      </c>
      <c r="C537" s="11">
        <v>0.06</v>
      </c>
      <c r="E537" s="15" t="str">
        <f t="shared" si="10"/>
        <v>3Q1993</v>
      </c>
      <c r="F537" s="16">
        <v>0.06</v>
      </c>
      <c r="J537" s="15"/>
    </row>
    <row r="538" spans="1:10">
      <c r="A538" s="9">
        <f t="shared" si="11"/>
        <v>34231</v>
      </c>
      <c r="B538" s="10">
        <v>34231</v>
      </c>
      <c r="C538" s="11">
        <v>0.06</v>
      </c>
      <c r="E538" s="15" t="str">
        <f t="shared" si="10"/>
        <v>3Q1993</v>
      </c>
      <c r="F538" s="16">
        <v>0.06</v>
      </c>
      <c r="J538" s="15"/>
    </row>
    <row r="539" spans="1:10">
      <c r="A539" s="9">
        <f t="shared" si="11"/>
        <v>34261</v>
      </c>
      <c r="B539" s="10">
        <v>34261</v>
      </c>
      <c r="C539" s="11">
        <v>0.06</v>
      </c>
      <c r="E539" s="15" t="str">
        <f t="shared" si="10"/>
        <v>4Q1993</v>
      </c>
      <c r="F539" s="16">
        <v>0.06</v>
      </c>
      <c r="J539" s="15"/>
    </row>
    <row r="540" spans="1:10">
      <c r="A540" s="9">
        <f t="shared" si="11"/>
        <v>34292</v>
      </c>
      <c r="B540" s="10">
        <v>34292</v>
      </c>
      <c r="C540" s="11">
        <v>0.06</v>
      </c>
      <c r="E540" s="15" t="str">
        <f t="shared" si="10"/>
        <v>4Q1993</v>
      </c>
      <c r="F540" s="16">
        <v>0.06</v>
      </c>
      <c r="J540" s="15"/>
    </row>
    <row r="541" spans="1:10">
      <c r="A541" s="9">
        <f t="shared" si="11"/>
        <v>34322</v>
      </c>
      <c r="B541" s="10">
        <v>34322</v>
      </c>
      <c r="C541" s="11">
        <v>0.06</v>
      </c>
      <c r="E541" s="15" t="str">
        <f t="shared" si="10"/>
        <v>4Q1993</v>
      </c>
      <c r="F541" s="16">
        <v>0.06</v>
      </c>
      <c r="J541" s="15"/>
    </row>
    <row r="542" spans="1:10">
      <c r="A542" s="9">
        <f t="shared" si="11"/>
        <v>34353</v>
      </c>
      <c r="B542" s="10">
        <v>34353</v>
      </c>
      <c r="C542" s="11">
        <v>0.06</v>
      </c>
      <c r="E542" s="15" t="str">
        <f t="shared" si="10"/>
        <v>1Q1994</v>
      </c>
      <c r="F542" s="16">
        <v>0.06</v>
      </c>
      <c r="J542" s="15"/>
    </row>
    <row r="543" spans="1:10">
      <c r="A543" s="9">
        <f t="shared" si="11"/>
        <v>34384</v>
      </c>
      <c r="B543" s="10">
        <v>34384</v>
      </c>
      <c r="C543" s="11">
        <v>0.06</v>
      </c>
      <c r="E543" s="15" t="str">
        <f t="shared" si="10"/>
        <v>1Q1994</v>
      </c>
      <c r="F543" s="16">
        <v>0.06</v>
      </c>
      <c r="J543" s="15"/>
    </row>
    <row r="544" spans="1:10">
      <c r="A544" s="9">
        <f t="shared" si="11"/>
        <v>34412</v>
      </c>
      <c r="B544" s="10">
        <v>34412</v>
      </c>
      <c r="C544" s="11">
        <v>6.0599999999999994E-2</v>
      </c>
      <c r="E544" s="15" t="str">
        <f t="shared" si="10"/>
        <v>1Q1994</v>
      </c>
      <c r="F544" s="16">
        <v>0.06</v>
      </c>
      <c r="J544" s="15"/>
    </row>
    <row r="545" spans="1:10">
      <c r="A545" s="9">
        <f t="shared" si="11"/>
        <v>34443</v>
      </c>
      <c r="B545" s="10">
        <v>34443</v>
      </c>
      <c r="C545" s="11">
        <v>6.4500000000000002E-2</v>
      </c>
      <c r="E545" s="15" t="str">
        <f t="shared" si="10"/>
        <v>2Q1994</v>
      </c>
      <c r="F545" s="16">
        <v>0.06</v>
      </c>
      <c r="J545" s="15"/>
    </row>
    <row r="546" spans="1:10">
      <c r="A546" s="9">
        <f t="shared" si="11"/>
        <v>34473</v>
      </c>
      <c r="B546" s="10">
        <v>34473</v>
      </c>
      <c r="C546" s="11">
        <v>6.9900000000000004E-2</v>
      </c>
      <c r="E546" s="15" t="str">
        <f t="shared" si="10"/>
        <v>2Q1994</v>
      </c>
      <c r="F546" s="16">
        <v>0.06</v>
      </c>
      <c r="J546" s="15"/>
    </row>
    <row r="547" spans="1:10">
      <c r="A547" s="9">
        <f t="shared" si="11"/>
        <v>34504</v>
      </c>
      <c r="B547" s="10">
        <v>34504</v>
      </c>
      <c r="C547" s="11">
        <v>7.2499999999999995E-2</v>
      </c>
      <c r="E547" s="15" t="str">
        <f t="shared" si="10"/>
        <v>2Q1994</v>
      </c>
      <c r="F547" s="16">
        <v>0.06</v>
      </c>
      <c r="J547" s="15"/>
    </row>
    <row r="548" spans="1:10">
      <c r="A548" s="9">
        <f t="shared" si="11"/>
        <v>34534</v>
      </c>
      <c r="B548" s="10">
        <v>34534</v>
      </c>
      <c r="C548" s="11">
        <v>7.2499999999999995E-2</v>
      </c>
      <c r="E548" s="15" t="str">
        <f t="shared" si="10"/>
        <v>3Q1994</v>
      </c>
      <c r="F548" s="16">
        <v>6.5000000000000002E-2</v>
      </c>
      <c r="J548" s="15"/>
    </row>
    <row r="549" spans="1:10">
      <c r="A549" s="9">
        <f t="shared" si="11"/>
        <v>34565</v>
      </c>
      <c r="B549" s="10">
        <v>34565</v>
      </c>
      <c r="C549" s="11">
        <v>7.51E-2</v>
      </c>
      <c r="E549" s="15" t="str">
        <f t="shared" si="10"/>
        <v>3Q1994</v>
      </c>
      <c r="F549" s="16">
        <v>6.5000000000000002E-2</v>
      </c>
      <c r="J549" s="15"/>
    </row>
    <row r="550" spans="1:10">
      <c r="A550" s="9">
        <f t="shared" si="11"/>
        <v>34596</v>
      </c>
      <c r="B550" s="10">
        <v>34596</v>
      </c>
      <c r="C550" s="11">
        <v>7.7499999999999999E-2</v>
      </c>
      <c r="E550" s="15" t="str">
        <f t="shared" si="10"/>
        <v>3Q1994</v>
      </c>
      <c r="F550" s="16">
        <v>6.5000000000000002E-2</v>
      </c>
      <c r="J550" s="15"/>
    </row>
    <row r="551" spans="1:10">
      <c r="A551" s="9">
        <f t="shared" si="11"/>
        <v>34626</v>
      </c>
      <c r="B551" s="10">
        <v>34626</v>
      </c>
      <c r="C551" s="11">
        <v>7.7499999999999999E-2</v>
      </c>
      <c r="E551" s="15" t="str">
        <f t="shared" si="10"/>
        <v>4Q1994</v>
      </c>
      <c r="F551" s="16">
        <v>7.3366666666666663E-2</v>
      </c>
      <c r="J551" s="15"/>
    </row>
    <row r="552" spans="1:10">
      <c r="A552" s="9">
        <f t="shared" si="11"/>
        <v>34657</v>
      </c>
      <c r="B552" s="10">
        <v>34657</v>
      </c>
      <c r="C552" s="11">
        <v>8.1500000000000003E-2</v>
      </c>
      <c r="E552" s="15" t="str">
        <f t="shared" si="10"/>
        <v>4Q1994</v>
      </c>
      <c r="F552" s="16">
        <v>7.3366666666666663E-2</v>
      </c>
      <c r="J552" s="15"/>
    </row>
    <row r="553" spans="1:10">
      <c r="A553" s="9">
        <f t="shared" si="11"/>
        <v>34687</v>
      </c>
      <c r="B553" s="10">
        <v>34687</v>
      </c>
      <c r="C553" s="11">
        <v>8.5000000000000006E-2</v>
      </c>
      <c r="E553" s="15" t="str">
        <f t="shared" si="10"/>
        <v>4Q1994</v>
      </c>
      <c r="F553" s="16">
        <v>7.3366666666666663E-2</v>
      </c>
      <c r="J553" s="15"/>
    </row>
    <row r="554" spans="1:10">
      <c r="A554" s="9">
        <f t="shared" si="11"/>
        <v>34718</v>
      </c>
      <c r="B554" s="10">
        <v>34718</v>
      </c>
      <c r="C554" s="11">
        <v>8.5000000000000006E-2</v>
      </c>
      <c r="E554" s="15" t="str">
        <f t="shared" si="10"/>
        <v>1Q1995</v>
      </c>
      <c r="F554" s="16">
        <v>7.8833333333333325E-2</v>
      </c>
      <c r="J554" s="15"/>
    </row>
    <row r="555" spans="1:10">
      <c r="A555" s="9">
        <f t="shared" si="11"/>
        <v>34749</v>
      </c>
      <c r="B555" s="10">
        <v>34749</v>
      </c>
      <c r="C555" s="11">
        <v>0.09</v>
      </c>
      <c r="E555" s="15" t="str">
        <f t="shared" si="10"/>
        <v>1Q1995</v>
      </c>
      <c r="F555" s="16">
        <v>7.8833333333333325E-2</v>
      </c>
      <c r="J555" s="15"/>
    </row>
    <row r="556" spans="1:10">
      <c r="A556" s="9">
        <f t="shared" si="11"/>
        <v>34777</v>
      </c>
      <c r="B556" s="10">
        <v>34777</v>
      </c>
      <c r="C556" s="11">
        <v>0.09</v>
      </c>
      <c r="E556" s="15" t="str">
        <f t="shared" si="10"/>
        <v>1Q1995</v>
      </c>
      <c r="F556" s="16">
        <v>7.8833333333333325E-2</v>
      </c>
      <c r="J556" s="15"/>
    </row>
    <row r="557" spans="1:10">
      <c r="A557" s="9">
        <f t="shared" si="11"/>
        <v>34808</v>
      </c>
      <c r="B557" s="10">
        <v>34808</v>
      </c>
      <c r="C557" s="11">
        <v>0.09</v>
      </c>
      <c r="E557" s="15" t="str">
        <f t="shared" si="10"/>
        <v>2Q1995</v>
      </c>
      <c r="F557" s="16">
        <v>8.666666666666667E-2</v>
      </c>
      <c r="J557" s="15"/>
    </row>
    <row r="558" spans="1:10">
      <c r="A558" s="9">
        <f t="shared" si="11"/>
        <v>34838</v>
      </c>
      <c r="B558" s="10">
        <v>34838</v>
      </c>
      <c r="C558" s="11">
        <v>0.09</v>
      </c>
      <c r="E558" s="15" t="str">
        <f t="shared" si="10"/>
        <v>2Q1995</v>
      </c>
      <c r="F558" s="16">
        <v>8.666666666666667E-2</v>
      </c>
      <c r="J558" s="15"/>
    </row>
    <row r="559" spans="1:10">
      <c r="A559" s="9">
        <f t="shared" si="11"/>
        <v>34869</v>
      </c>
      <c r="B559" s="10">
        <v>34869</v>
      </c>
      <c r="C559" s="11">
        <v>0.09</v>
      </c>
      <c r="E559" s="15" t="str">
        <f t="shared" si="10"/>
        <v>2Q1995</v>
      </c>
      <c r="F559" s="16">
        <v>8.666666666666667E-2</v>
      </c>
      <c r="J559" s="15"/>
    </row>
    <row r="560" spans="1:10">
      <c r="A560" s="9">
        <f t="shared" si="11"/>
        <v>34899</v>
      </c>
      <c r="B560" s="10">
        <v>34899</v>
      </c>
      <c r="C560" s="11">
        <v>8.8000000000000009E-2</v>
      </c>
      <c r="E560" s="15" t="str">
        <f t="shared" si="10"/>
        <v>3Q1995</v>
      </c>
      <c r="F560" s="16">
        <v>0.09</v>
      </c>
      <c r="J560" s="15"/>
    </row>
    <row r="561" spans="1:10">
      <c r="A561" s="9">
        <f t="shared" si="11"/>
        <v>34930</v>
      </c>
      <c r="B561" s="10">
        <v>34930</v>
      </c>
      <c r="C561" s="11">
        <v>8.7499999999999994E-2</v>
      </c>
      <c r="E561" s="15" t="str">
        <f t="shared" si="10"/>
        <v>3Q1995</v>
      </c>
      <c r="F561" s="16">
        <v>0.09</v>
      </c>
      <c r="J561" s="15"/>
    </row>
    <row r="562" spans="1:10">
      <c r="A562" s="9">
        <f t="shared" si="11"/>
        <v>34961</v>
      </c>
      <c r="B562" s="10">
        <v>34961</v>
      </c>
      <c r="C562" s="11">
        <v>8.7499999999999994E-2</v>
      </c>
      <c r="E562" s="15" t="str">
        <f t="shared" si="10"/>
        <v>3Q1995</v>
      </c>
      <c r="F562" s="16">
        <v>0.09</v>
      </c>
      <c r="J562" s="15"/>
    </row>
    <row r="563" spans="1:10">
      <c r="A563" s="9">
        <f t="shared" si="11"/>
        <v>34991</v>
      </c>
      <c r="B563" s="10">
        <v>34991</v>
      </c>
      <c r="C563" s="11">
        <v>8.7499999999999994E-2</v>
      </c>
      <c r="E563" s="15" t="str">
        <f t="shared" ref="E563:E626" si="12">IF(MONTH(B563)&lt;4,"1",IF(MONTH(B563)&lt;7,"2",IF(MONTH(B563)&lt;10,"3","4")))&amp;"Q"&amp;YEAR(B563)</f>
        <v>4Q1995</v>
      </c>
      <c r="F563" s="16">
        <v>8.8499999999999981E-2</v>
      </c>
      <c r="J563" s="15"/>
    </row>
    <row r="564" spans="1:10">
      <c r="A564" s="9">
        <f t="shared" si="11"/>
        <v>35022</v>
      </c>
      <c r="B564" s="10">
        <v>35022</v>
      </c>
      <c r="C564" s="11">
        <v>8.7499999999999994E-2</v>
      </c>
      <c r="E564" s="15" t="str">
        <f t="shared" si="12"/>
        <v>4Q1995</v>
      </c>
      <c r="F564" s="16">
        <v>8.8499999999999981E-2</v>
      </c>
      <c r="J564" s="15"/>
    </row>
    <row r="565" spans="1:10">
      <c r="A565" s="9">
        <f t="shared" si="11"/>
        <v>35052</v>
      </c>
      <c r="B565" s="10">
        <v>35052</v>
      </c>
      <c r="C565" s="11">
        <v>8.6500000000000007E-2</v>
      </c>
      <c r="E565" s="15" t="str">
        <f t="shared" si="12"/>
        <v>4Q1995</v>
      </c>
      <c r="F565" s="16">
        <v>8.8499999999999981E-2</v>
      </c>
      <c r="J565" s="15"/>
    </row>
    <row r="566" spans="1:10">
      <c r="A566" s="9">
        <f t="shared" si="11"/>
        <v>35083</v>
      </c>
      <c r="B566" s="10">
        <v>35083</v>
      </c>
      <c r="C566" s="11">
        <v>8.5000000000000006E-2</v>
      </c>
      <c r="E566" s="15" t="str">
        <f t="shared" si="12"/>
        <v>1Q1996</v>
      </c>
      <c r="F566" s="16">
        <v>8.7499999999999994E-2</v>
      </c>
      <c r="J566" s="15"/>
    </row>
    <row r="567" spans="1:10">
      <c r="A567" s="9">
        <f t="shared" si="11"/>
        <v>35114</v>
      </c>
      <c r="B567" s="10">
        <v>35114</v>
      </c>
      <c r="C567" s="11">
        <v>8.2500000000000004E-2</v>
      </c>
      <c r="E567" s="15" t="str">
        <f t="shared" si="12"/>
        <v>1Q1996</v>
      </c>
      <c r="F567" s="16">
        <v>8.7499999999999994E-2</v>
      </c>
      <c r="J567" s="15"/>
    </row>
    <row r="568" spans="1:10">
      <c r="A568" s="9">
        <f t="shared" si="11"/>
        <v>35143</v>
      </c>
      <c r="B568" s="10">
        <v>35143</v>
      </c>
      <c r="C568" s="11">
        <v>8.2500000000000004E-2</v>
      </c>
      <c r="E568" s="15" t="str">
        <f t="shared" si="12"/>
        <v>1Q1996</v>
      </c>
      <c r="F568" s="16">
        <v>8.7499999999999994E-2</v>
      </c>
      <c r="J568" s="15"/>
    </row>
    <row r="569" spans="1:10">
      <c r="A569" s="9">
        <f t="shared" si="11"/>
        <v>35174</v>
      </c>
      <c r="B569" s="10">
        <v>35174</v>
      </c>
      <c r="C569" s="11">
        <v>8.2500000000000004E-2</v>
      </c>
      <c r="E569" s="15" t="str">
        <f t="shared" si="12"/>
        <v>2Q1996</v>
      </c>
      <c r="F569" s="16">
        <v>8.4666666666666668E-2</v>
      </c>
      <c r="J569" s="15"/>
    </row>
    <row r="570" spans="1:10">
      <c r="A570" s="9">
        <f t="shared" si="11"/>
        <v>35204</v>
      </c>
      <c r="B570" s="10">
        <v>35204</v>
      </c>
      <c r="C570" s="11">
        <v>8.2500000000000004E-2</v>
      </c>
      <c r="E570" s="15" t="str">
        <f t="shared" si="12"/>
        <v>2Q1996</v>
      </c>
      <c r="F570" s="16">
        <v>8.4666666666666668E-2</v>
      </c>
      <c r="J570" s="15"/>
    </row>
    <row r="571" spans="1:10">
      <c r="A571" s="9">
        <f t="shared" si="11"/>
        <v>35235</v>
      </c>
      <c r="B571" s="10">
        <v>35235</v>
      </c>
      <c r="C571" s="11">
        <v>8.2500000000000004E-2</v>
      </c>
      <c r="E571" s="15" t="str">
        <f t="shared" si="12"/>
        <v>2Q1996</v>
      </c>
      <c r="F571" s="16">
        <v>8.4666666666666668E-2</v>
      </c>
      <c r="J571" s="15"/>
    </row>
    <row r="572" spans="1:10">
      <c r="A572" s="9">
        <f t="shared" si="11"/>
        <v>35265</v>
      </c>
      <c r="B572" s="10">
        <v>35265</v>
      </c>
      <c r="C572" s="11">
        <v>8.2500000000000004E-2</v>
      </c>
      <c r="E572" s="15" t="str">
        <f t="shared" si="12"/>
        <v>3Q1996</v>
      </c>
      <c r="F572" s="16">
        <v>8.2500000000000004E-2</v>
      </c>
      <c r="J572" s="15"/>
    </row>
    <row r="573" spans="1:10">
      <c r="A573" s="9">
        <f t="shared" si="11"/>
        <v>35296</v>
      </c>
      <c r="B573" s="10">
        <v>35296</v>
      </c>
      <c r="C573" s="11">
        <v>8.2500000000000004E-2</v>
      </c>
      <c r="E573" s="15" t="str">
        <f t="shared" si="12"/>
        <v>3Q1996</v>
      </c>
      <c r="F573" s="16">
        <v>8.2500000000000004E-2</v>
      </c>
      <c r="J573" s="15"/>
    </row>
    <row r="574" spans="1:10">
      <c r="A574" s="9">
        <f t="shared" si="11"/>
        <v>35327</v>
      </c>
      <c r="B574" s="10">
        <v>35327</v>
      </c>
      <c r="C574" s="11">
        <v>8.2500000000000004E-2</v>
      </c>
      <c r="E574" s="15" t="str">
        <f t="shared" si="12"/>
        <v>3Q1996</v>
      </c>
      <c r="F574" s="16">
        <v>8.2500000000000004E-2</v>
      </c>
      <c r="J574" s="15"/>
    </row>
    <row r="575" spans="1:10">
      <c r="A575" s="9">
        <f t="shared" si="11"/>
        <v>35357</v>
      </c>
      <c r="B575" s="10">
        <v>35357</v>
      </c>
      <c r="C575" s="11">
        <v>8.2500000000000004E-2</v>
      </c>
      <c r="E575" s="15" t="str">
        <f t="shared" si="12"/>
        <v>4Q1996</v>
      </c>
      <c r="F575" s="16">
        <v>8.2500000000000004E-2</v>
      </c>
      <c r="J575" s="15"/>
    </row>
    <row r="576" spans="1:10">
      <c r="A576" s="9">
        <f t="shared" si="11"/>
        <v>35388</v>
      </c>
      <c r="B576" s="10">
        <v>35388</v>
      </c>
      <c r="C576" s="11">
        <v>8.2500000000000004E-2</v>
      </c>
      <c r="E576" s="15" t="str">
        <f t="shared" si="12"/>
        <v>4Q1996</v>
      </c>
      <c r="F576" s="16">
        <v>8.2500000000000004E-2</v>
      </c>
      <c r="J576" s="15"/>
    </row>
    <row r="577" spans="1:10">
      <c r="A577" s="9">
        <f t="shared" si="11"/>
        <v>35418</v>
      </c>
      <c r="B577" s="10">
        <v>35418</v>
      </c>
      <c r="C577" s="11">
        <v>8.2500000000000004E-2</v>
      </c>
      <c r="E577" s="15" t="str">
        <f t="shared" si="12"/>
        <v>4Q1996</v>
      </c>
      <c r="F577" s="16">
        <v>8.2500000000000004E-2</v>
      </c>
      <c r="J577" s="15"/>
    </row>
    <row r="578" spans="1:10">
      <c r="A578" s="9">
        <f t="shared" si="11"/>
        <v>35449</v>
      </c>
      <c r="B578" s="10">
        <v>35449</v>
      </c>
      <c r="C578" s="11">
        <v>8.2500000000000004E-2</v>
      </c>
      <c r="E578" s="15" t="str">
        <f t="shared" si="12"/>
        <v>1Q1997</v>
      </c>
      <c r="F578" s="16">
        <v>8.2500000000000004E-2</v>
      </c>
      <c r="J578" s="15"/>
    </row>
    <row r="579" spans="1:10">
      <c r="A579" s="9">
        <f t="shared" ref="A579:A644" si="13">+B579</f>
        <v>35480</v>
      </c>
      <c r="B579" s="10">
        <v>35480</v>
      </c>
      <c r="C579" s="11">
        <v>8.2500000000000004E-2</v>
      </c>
      <c r="E579" s="15" t="str">
        <f t="shared" si="12"/>
        <v>1Q1997</v>
      </c>
      <c r="F579" s="16">
        <v>8.2500000000000004E-2</v>
      </c>
      <c r="J579" s="15"/>
    </row>
    <row r="580" spans="1:10">
      <c r="A580" s="9">
        <f t="shared" si="13"/>
        <v>35508</v>
      </c>
      <c r="B580" s="10">
        <v>35508</v>
      </c>
      <c r="C580" s="11">
        <v>8.3000000000000004E-2</v>
      </c>
      <c r="E580" s="15" t="str">
        <f t="shared" si="12"/>
        <v>1Q1997</v>
      </c>
      <c r="F580" s="16">
        <v>8.2500000000000004E-2</v>
      </c>
      <c r="J580" s="15"/>
    </row>
    <row r="581" spans="1:10">
      <c r="A581" s="9">
        <f t="shared" si="13"/>
        <v>35539</v>
      </c>
      <c r="B581" s="10">
        <v>35539</v>
      </c>
      <c r="C581" s="11">
        <v>8.5000000000000006E-2</v>
      </c>
      <c r="E581" s="15" t="str">
        <f t="shared" si="12"/>
        <v>2Q1997</v>
      </c>
      <c r="F581" s="16">
        <v>8.2500000000000004E-2</v>
      </c>
      <c r="J581" s="15"/>
    </row>
    <row r="582" spans="1:10">
      <c r="A582" s="9">
        <f t="shared" si="13"/>
        <v>35569</v>
      </c>
      <c r="B582" s="10">
        <v>35569</v>
      </c>
      <c r="C582" s="11">
        <v>8.5000000000000006E-2</v>
      </c>
      <c r="E582" s="15" t="str">
        <f t="shared" si="12"/>
        <v>2Q1997</v>
      </c>
      <c r="F582" s="16">
        <v>8.2500000000000004E-2</v>
      </c>
      <c r="J582" s="15"/>
    </row>
    <row r="583" spans="1:10">
      <c r="A583" s="9">
        <f t="shared" si="13"/>
        <v>35600</v>
      </c>
      <c r="B583" s="10">
        <v>35600</v>
      </c>
      <c r="C583" s="11">
        <v>8.5000000000000006E-2</v>
      </c>
      <c r="E583" s="15" t="str">
        <f t="shared" si="12"/>
        <v>2Q1997</v>
      </c>
      <c r="F583" s="16">
        <v>8.2500000000000004E-2</v>
      </c>
      <c r="J583" s="15"/>
    </row>
    <row r="584" spans="1:10">
      <c r="A584" s="9">
        <f t="shared" si="13"/>
        <v>35630</v>
      </c>
      <c r="B584" s="10">
        <v>35630</v>
      </c>
      <c r="C584" s="11">
        <v>8.5000000000000006E-2</v>
      </c>
      <c r="E584" s="15" t="str">
        <f t="shared" si="12"/>
        <v>3Q1997</v>
      </c>
      <c r="F584" s="16">
        <v>8.433333333333333E-2</v>
      </c>
      <c r="J584" s="15"/>
    </row>
    <row r="585" spans="1:10">
      <c r="A585" s="9">
        <f t="shared" si="13"/>
        <v>35661</v>
      </c>
      <c r="B585" s="10">
        <v>35661</v>
      </c>
      <c r="C585" s="11">
        <v>8.5000000000000006E-2</v>
      </c>
      <c r="E585" s="15" t="str">
        <f t="shared" si="12"/>
        <v>3Q1997</v>
      </c>
      <c r="F585" s="16">
        <v>8.433333333333333E-2</v>
      </c>
      <c r="J585" s="15"/>
    </row>
    <row r="586" spans="1:10">
      <c r="A586" s="9">
        <f t="shared" si="13"/>
        <v>35692</v>
      </c>
      <c r="B586" s="10">
        <v>35692</v>
      </c>
      <c r="C586" s="11">
        <v>8.5000000000000006E-2</v>
      </c>
      <c r="E586" s="15" t="str">
        <f t="shared" si="12"/>
        <v>3Q1997</v>
      </c>
      <c r="F586" s="16">
        <v>8.433333333333333E-2</v>
      </c>
      <c r="J586" s="15"/>
    </row>
    <row r="587" spans="1:10">
      <c r="A587" s="9">
        <f t="shared" si="13"/>
        <v>35722</v>
      </c>
      <c r="B587" s="10">
        <v>35722</v>
      </c>
      <c r="C587" s="11">
        <v>8.5000000000000006E-2</v>
      </c>
      <c r="E587" s="15" t="str">
        <f t="shared" si="12"/>
        <v>4Q1997</v>
      </c>
      <c r="F587" s="16">
        <v>8.5000000000000006E-2</v>
      </c>
      <c r="J587" s="15"/>
    </row>
    <row r="588" spans="1:10">
      <c r="A588" s="9">
        <f t="shared" si="13"/>
        <v>35753</v>
      </c>
      <c r="B588" s="10">
        <v>35753</v>
      </c>
      <c r="C588" s="11">
        <v>8.5000000000000006E-2</v>
      </c>
      <c r="E588" s="15" t="str">
        <f t="shared" si="12"/>
        <v>4Q1997</v>
      </c>
      <c r="F588" s="16">
        <v>8.5000000000000006E-2</v>
      </c>
      <c r="J588" s="15"/>
    </row>
    <row r="589" spans="1:10">
      <c r="A589" s="9">
        <f t="shared" si="13"/>
        <v>35783</v>
      </c>
      <c r="B589" s="10">
        <v>35783</v>
      </c>
      <c r="C589" s="11">
        <v>8.5000000000000006E-2</v>
      </c>
      <c r="E589" s="15" t="str">
        <f t="shared" si="12"/>
        <v>4Q1997</v>
      </c>
      <c r="F589" s="16">
        <v>8.5000000000000006E-2</v>
      </c>
      <c r="J589" s="15"/>
    </row>
    <row r="590" spans="1:10">
      <c r="A590" s="9">
        <f t="shared" si="13"/>
        <v>35814</v>
      </c>
      <c r="B590" s="10">
        <v>35814</v>
      </c>
      <c r="C590" s="11">
        <v>8.5000000000000006E-2</v>
      </c>
      <c r="E590" s="15" t="str">
        <f t="shared" si="12"/>
        <v>1Q1998</v>
      </c>
      <c r="F590" s="16">
        <v>8.5000000000000006E-2</v>
      </c>
      <c r="J590" s="15"/>
    </row>
    <row r="591" spans="1:10">
      <c r="A591" s="9">
        <f t="shared" si="13"/>
        <v>35845</v>
      </c>
      <c r="B591" s="10">
        <v>35845</v>
      </c>
      <c r="C591" s="11">
        <v>8.5000000000000006E-2</v>
      </c>
      <c r="E591" s="15" t="str">
        <f t="shared" si="12"/>
        <v>1Q1998</v>
      </c>
      <c r="F591" s="16">
        <v>8.5000000000000006E-2</v>
      </c>
      <c r="J591" s="15"/>
    </row>
    <row r="592" spans="1:10">
      <c r="A592" s="9">
        <f t="shared" si="13"/>
        <v>35873</v>
      </c>
      <c r="B592" s="10">
        <v>35873</v>
      </c>
      <c r="C592" s="11">
        <v>8.5000000000000006E-2</v>
      </c>
      <c r="E592" s="15" t="str">
        <f t="shared" si="12"/>
        <v>1Q1998</v>
      </c>
      <c r="F592" s="16">
        <v>8.5000000000000006E-2</v>
      </c>
      <c r="J592" s="15"/>
    </row>
    <row r="593" spans="1:10">
      <c r="A593" s="9">
        <f t="shared" si="13"/>
        <v>35904</v>
      </c>
      <c r="B593" s="10">
        <v>35904</v>
      </c>
      <c r="C593" s="11">
        <v>8.5000000000000006E-2</v>
      </c>
      <c r="E593" s="15" t="str">
        <f t="shared" si="12"/>
        <v>2Q1998</v>
      </c>
      <c r="F593" s="16">
        <v>8.5000000000000006E-2</v>
      </c>
      <c r="J593" s="15"/>
    </row>
    <row r="594" spans="1:10">
      <c r="A594" s="9">
        <f t="shared" si="13"/>
        <v>35934</v>
      </c>
      <c r="B594" s="10">
        <v>35934</v>
      </c>
      <c r="C594" s="11">
        <v>8.5000000000000006E-2</v>
      </c>
      <c r="E594" s="15" t="str">
        <f t="shared" si="12"/>
        <v>2Q1998</v>
      </c>
      <c r="F594" s="16">
        <v>8.5000000000000006E-2</v>
      </c>
      <c r="J594" s="15"/>
    </row>
    <row r="595" spans="1:10">
      <c r="A595" s="9">
        <f t="shared" si="13"/>
        <v>35965</v>
      </c>
      <c r="B595" s="10">
        <v>35965</v>
      </c>
      <c r="C595" s="11">
        <v>8.5000000000000006E-2</v>
      </c>
      <c r="E595" s="15" t="str">
        <f t="shared" si="12"/>
        <v>2Q1998</v>
      </c>
      <c r="F595" s="16">
        <v>8.5000000000000006E-2</v>
      </c>
      <c r="J595" s="15"/>
    </row>
    <row r="596" spans="1:10">
      <c r="A596" s="9">
        <f t="shared" si="13"/>
        <v>35995</v>
      </c>
      <c r="B596" s="10">
        <v>35995</v>
      </c>
      <c r="C596" s="11">
        <v>8.5000000000000006E-2</v>
      </c>
      <c r="E596" s="15" t="str">
        <f t="shared" si="12"/>
        <v>3Q1998</v>
      </c>
      <c r="F596" s="16">
        <v>8.5000000000000006E-2</v>
      </c>
      <c r="J596" s="15"/>
    </row>
    <row r="597" spans="1:10">
      <c r="A597" s="9">
        <f t="shared" si="13"/>
        <v>36026</v>
      </c>
      <c r="B597" s="10">
        <v>36026</v>
      </c>
      <c r="C597" s="11">
        <v>8.5000000000000006E-2</v>
      </c>
      <c r="E597" s="15" t="str">
        <f t="shared" si="12"/>
        <v>3Q1998</v>
      </c>
      <c r="F597" s="16">
        <v>8.5000000000000006E-2</v>
      </c>
      <c r="J597" s="15"/>
    </row>
    <row r="598" spans="1:10">
      <c r="A598" s="9">
        <f t="shared" si="13"/>
        <v>36057</v>
      </c>
      <c r="B598" s="10">
        <v>36057</v>
      </c>
      <c r="C598" s="11">
        <v>8.4900000000000003E-2</v>
      </c>
      <c r="E598" s="15" t="str">
        <f t="shared" si="12"/>
        <v>3Q1998</v>
      </c>
      <c r="F598" s="16">
        <v>8.5000000000000006E-2</v>
      </c>
      <c r="J598" s="15"/>
    </row>
    <row r="599" spans="1:10">
      <c r="A599" s="9">
        <f t="shared" si="13"/>
        <v>36087</v>
      </c>
      <c r="B599" s="10">
        <v>36087</v>
      </c>
      <c r="C599" s="11">
        <v>8.1199999999999994E-2</v>
      </c>
      <c r="E599" s="15" t="str">
        <f t="shared" si="12"/>
        <v>4Q1998</v>
      </c>
      <c r="F599" s="16">
        <v>8.5000000000000006E-2</v>
      </c>
      <c r="J599" s="15"/>
    </row>
    <row r="600" spans="1:10">
      <c r="A600" s="9">
        <f t="shared" si="13"/>
        <v>36118</v>
      </c>
      <c r="B600" s="10">
        <v>36118</v>
      </c>
      <c r="C600" s="11">
        <v>7.8899999999999998E-2</v>
      </c>
      <c r="E600" s="15" t="str">
        <f t="shared" si="12"/>
        <v>4Q1998</v>
      </c>
      <c r="F600" s="16">
        <v>8.5000000000000006E-2</v>
      </c>
      <c r="J600" s="15"/>
    </row>
    <row r="601" spans="1:10">
      <c r="A601" s="9">
        <f t="shared" si="13"/>
        <v>36148</v>
      </c>
      <c r="B601" s="10">
        <v>36148</v>
      </c>
      <c r="C601" s="11">
        <v>7.7499999999999999E-2</v>
      </c>
      <c r="E601" s="15" t="str">
        <f t="shared" si="12"/>
        <v>4Q1998</v>
      </c>
      <c r="F601" s="16">
        <v>8.5000000000000006E-2</v>
      </c>
      <c r="J601" s="15"/>
    </row>
    <row r="602" spans="1:10">
      <c r="A602" s="9">
        <f t="shared" si="13"/>
        <v>36179</v>
      </c>
      <c r="B602" s="10">
        <v>36179</v>
      </c>
      <c r="C602" s="11">
        <v>7.7499999999999999E-2</v>
      </c>
      <c r="E602" s="15" t="str">
        <f t="shared" si="12"/>
        <v>1Q1999</v>
      </c>
      <c r="F602" s="16">
        <v>8.1666666666666665E-2</v>
      </c>
      <c r="J602" s="15"/>
    </row>
    <row r="603" spans="1:10">
      <c r="A603" s="9">
        <f t="shared" si="13"/>
        <v>36210</v>
      </c>
      <c r="B603" s="10">
        <v>36210</v>
      </c>
      <c r="C603" s="11">
        <v>7.7499999999999999E-2</v>
      </c>
      <c r="E603" s="15" t="str">
        <f t="shared" si="12"/>
        <v>1Q1999</v>
      </c>
      <c r="F603" s="16">
        <v>8.1666666666666665E-2</v>
      </c>
      <c r="J603" s="15"/>
    </row>
    <row r="604" spans="1:10">
      <c r="A604" s="9">
        <f t="shared" si="13"/>
        <v>36238</v>
      </c>
      <c r="B604" s="10">
        <v>36238</v>
      </c>
      <c r="C604" s="11">
        <v>7.7499999999999999E-2</v>
      </c>
      <c r="E604" s="15" t="str">
        <f t="shared" si="12"/>
        <v>1Q1999</v>
      </c>
      <c r="F604" s="16">
        <v>8.1666666666666665E-2</v>
      </c>
      <c r="J604" s="15"/>
    </row>
    <row r="605" spans="1:10">
      <c r="A605" s="9">
        <f t="shared" si="13"/>
        <v>36269</v>
      </c>
      <c r="B605" s="10">
        <v>36269</v>
      </c>
      <c r="C605" s="11">
        <v>7.7499999999999999E-2</v>
      </c>
      <c r="E605" s="15" t="str">
        <f t="shared" si="12"/>
        <v>2Q1999</v>
      </c>
      <c r="F605" s="16">
        <v>7.7499999999999999E-2</v>
      </c>
      <c r="J605" s="15"/>
    </row>
    <row r="606" spans="1:10">
      <c r="A606" s="9">
        <f t="shared" si="13"/>
        <v>36299</v>
      </c>
      <c r="B606" s="10">
        <v>36299</v>
      </c>
      <c r="C606" s="11">
        <v>7.7499999999999999E-2</v>
      </c>
      <c r="E606" s="15" t="str">
        <f t="shared" si="12"/>
        <v>2Q1999</v>
      </c>
      <c r="F606" s="16">
        <v>7.7499999999999999E-2</v>
      </c>
      <c r="J606" s="15"/>
    </row>
    <row r="607" spans="1:10">
      <c r="A607" s="9">
        <f t="shared" si="13"/>
        <v>36330</v>
      </c>
      <c r="B607" s="10">
        <v>36330</v>
      </c>
      <c r="C607" s="11">
        <v>7.7499999999999999E-2</v>
      </c>
      <c r="E607" s="15" t="str">
        <f t="shared" si="12"/>
        <v>2Q1999</v>
      </c>
      <c r="F607" s="16">
        <v>7.7499999999999999E-2</v>
      </c>
      <c r="J607" s="15"/>
    </row>
    <row r="608" spans="1:10">
      <c r="A608" s="9">
        <f t="shared" si="13"/>
        <v>36360</v>
      </c>
      <c r="B608" s="10">
        <v>36360</v>
      </c>
      <c r="C608" s="11">
        <v>0.08</v>
      </c>
      <c r="E608" s="15" t="str">
        <f t="shared" si="12"/>
        <v>3Q1999</v>
      </c>
      <c r="F608" s="16">
        <v>7.7499999999999999E-2</v>
      </c>
      <c r="J608" s="15"/>
    </row>
    <row r="609" spans="1:10">
      <c r="A609" s="9">
        <f t="shared" si="13"/>
        <v>36391</v>
      </c>
      <c r="B609" s="10">
        <v>36391</v>
      </c>
      <c r="C609" s="11">
        <v>8.0600000000000005E-2</v>
      </c>
      <c r="E609" s="15" t="str">
        <f t="shared" si="12"/>
        <v>3Q1999</v>
      </c>
      <c r="F609" s="16">
        <v>7.7499999999999999E-2</v>
      </c>
      <c r="J609" s="15"/>
    </row>
    <row r="610" spans="1:10">
      <c r="A610" s="9">
        <f t="shared" si="13"/>
        <v>36422</v>
      </c>
      <c r="B610" s="10">
        <v>36422</v>
      </c>
      <c r="C610" s="11">
        <v>8.2500000000000004E-2</v>
      </c>
      <c r="E610" s="15" t="str">
        <f t="shared" si="12"/>
        <v>3Q1999</v>
      </c>
      <c r="F610" s="16">
        <v>7.7499999999999999E-2</v>
      </c>
      <c r="J610" s="15"/>
    </row>
    <row r="611" spans="1:10">
      <c r="A611" s="9">
        <f t="shared" si="13"/>
        <v>36452</v>
      </c>
      <c r="B611" s="10">
        <v>36452</v>
      </c>
      <c r="C611" s="11">
        <v>8.2500000000000004E-2</v>
      </c>
      <c r="E611" s="15" t="str">
        <f t="shared" si="12"/>
        <v>4Q1999</v>
      </c>
      <c r="F611" s="16">
        <v>7.9366666666666669E-2</v>
      </c>
      <c r="J611" s="15"/>
    </row>
    <row r="612" spans="1:10">
      <c r="A612" s="9">
        <f t="shared" si="13"/>
        <v>36483</v>
      </c>
      <c r="B612" s="10">
        <v>36483</v>
      </c>
      <c r="C612" s="11">
        <v>8.3699999999999997E-2</v>
      </c>
      <c r="E612" s="15" t="str">
        <f t="shared" si="12"/>
        <v>4Q1999</v>
      </c>
      <c r="F612" s="16">
        <v>7.9366666666666669E-2</v>
      </c>
      <c r="J612" s="15"/>
    </row>
    <row r="613" spans="1:10">
      <c r="A613" s="9">
        <f t="shared" si="13"/>
        <v>36513</v>
      </c>
      <c r="B613" s="10">
        <v>36513</v>
      </c>
      <c r="C613" s="11">
        <v>8.5000000000000006E-2</v>
      </c>
      <c r="E613" s="15" t="str">
        <f t="shared" si="12"/>
        <v>4Q1999</v>
      </c>
      <c r="F613" s="16">
        <v>7.9366666666666669E-2</v>
      </c>
      <c r="J613" s="15"/>
    </row>
    <row r="614" spans="1:10">
      <c r="A614" s="9">
        <f t="shared" si="13"/>
        <v>36545</v>
      </c>
      <c r="B614" s="10">
        <v>36545</v>
      </c>
      <c r="C614" s="11">
        <v>8.5000000000000006E-2</v>
      </c>
      <c r="E614" s="15" t="str">
        <f t="shared" si="12"/>
        <v>1Q2000</v>
      </c>
      <c r="F614" s="16">
        <v>8.2900000000000001E-2</v>
      </c>
      <c r="J614" s="15"/>
    </row>
    <row r="615" spans="1:10">
      <c r="A615" s="9">
        <f t="shared" si="13"/>
        <v>36576</v>
      </c>
      <c r="B615" s="10">
        <v>36576</v>
      </c>
      <c r="C615" s="11">
        <v>8.7300000000000003E-2</v>
      </c>
      <c r="E615" s="15" t="str">
        <f t="shared" si="12"/>
        <v>1Q2000</v>
      </c>
      <c r="F615" s="16">
        <v>8.2900000000000001E-2</v>
      </c>
      <c r="J615" s="15"/>
    </row>
    <row r="616" spans="1:10">
      <c r="A616" s="9">
        <f t="shared" si="13"/>
        <v>36605</v>
      </c>
      <c r="B616" s="10">
        <v>36605</v>
      </c>
      <c r="C616" s="11">
        <v>8.8300000000000003E-2</v>
      </c>
      <c r="E616" s="15" t="str">
        <f t="shared" si="12"/>
        <v>1Q2000</v>
      </c>
      <c r="F616" s="16">
        <v>8.2900000000000001E-2</v>
      </c>
      <c r="J616" s="15"/>
    </row>
    <row r="617" spans="1:10">
      <c r="A617" s="9">
        <f t="shared" si="13"/>
        <v>36636</v>
      </c>
      <c r="B617" s="10">
        <v>36636</v>
      </c>
      <c r="C617" s="11">
        <v>0.09</v>
      </c>
      <c r="E617" s="15" t="str">
        <f t="shared" si="12"/>
        <v>2Q2000</v>
      </c>
      <c r="F617" s="16">
        <v>8.5766666666666672E-2</v>
      </c>
      <c r="J617" s="15"/>
    </row>
    <row r="618" spans="1:10">
      <c r="A618" s="9">
        <f t="shared" si="13"/>
        <v>36666</v>
      </c>
      <c r="B618" s="10">
        <v>36666</v>
      </c>
      <c r="C618" s="11">
        <v>9.2399999999999996E-2</v>
      </c>
      <c r="E618" s="15" t="str">
        <f t="shared" si="12"/>
        <v>2Q2000</v>
      </c>
      <c r="F618" s="16">
        <v>8.5766666666666672E-2</v>
      </c>
      <c r="J618" s="15"/>
    </row>
    <row r="619" spans="1:10">
      <c r="A619" s="9">
        <f t="shared" si="13"/>
        <v>36697</v>
      </c>
      <c r="B619" s="10">
        <v>36697</v>
      </c>
      <c r="C619" s="11">
        <v>9.5000000000000001E-2</v>
      </c>
      <c r="E619" s="15" t="str">
        <f t="shared" si="12"/>
        <v>2Q2000</v>
      </c>
      <c r="F619" s="16">
        <v>8.5766666666666672E-2</v>
      </c>
      <c r="J619" s="15"/>
    </row>
    <row r="620" spans="1:10">
      <c r="A620" s="9">
        <f t="shared" si="13"/>
        <v>36727</v>
      </c>
      <c r="B620" s="10">
        <v>36727</v>
      </c>
      <c r="C620" s="11">
        <v>9.5000000000000001E-2</v>
      </c>
      <c r="E620" s="15" t="str">
        <f t="shared" si="12"/>
        <v>3Q2000</v>
      </c>
      <c r="F620" s="16">
        <v>9.0233333333333332E-2</v>
      </c>
      <c r="J620" s="15"/>
    </row>
    <row r="621" spans="1:10">
      <c r="A621" s="9">
        <f t="shared" si="13"/>
        <v>36758</v>
      </c>
      <c r="B621" s="10">
        <v>36758</v>
      </c>
      <c r="C621" s="11">
        <v>9.5000000000000001E-2</v>
      </c>
      <c r="E621" s="15" t="str">
        <f t="shared" si="12"/>
        <v>3Q2000</v>
      </c>
      <c r="F621" s="16">
        <v>9.0233333333333332E-2</v>
      </c>
      <c r="J621" s="15"/>
    </row>
    <row r="622" spans="1:10">
      <c r="A622" s="9">
        <f t="shared" si="13"/>
        <v>36789</v>
      </c>
      <c r="B622" s="10">
        <v>36789</v>
      </c>
      <c r="C622" s="11">
        <v>9.5000000000000001E-2</v>
      </c>
      <c r="E622" s="15" t="str">
        <f t="shared" si="12"/>
        <v>3Q2000</v>
      </c>
      <c r="F622" s="16">
        <v>9.0233333333333332E-2</v>
      </c>
      <c r="J622" s="15"/>
    </row>
    <row r="623" spans="1:10">
      <c r="A623" s="9">
        <f t="shared" si="13"/>
        <v>36819</v>
      </c>
      <c r="B623" s="10">
        <v>36819</v>
      </c>
      <c r="C623" s="11">
        <v>9.5000000000000001E-2</v>
      </c>
      <c r="E623" s="15" t="str">
        <f t="shared" si="12"/>
        <v>4Q2000</v>
      </c>
      <c r="F623" s="16">
        <v>9.5000000000000001E-2</v>
      </c>
      <c r="J623" s="15"/>
    </row>
    <row r="624" spans="1:10">
      <c r="A624" s="9">
        <f t="shared" si="13"/>
        <v>36850</v>
      </c>
      <c r="B624" s="10">
        <v>36850</v>
      </c>
      <c r="C624" s="11">
        <v>9.5000000000000001E-2</v>
      </c>
      <c r="E624" s="15" t="str">
        <f t="shared" si="12"/>
        <v>4Q2000</v>
      </c>
      <c r="F624" s="16">
        <v>9.5000000000000001E-2</v>
      </c>
      <c r="J624" s="15"/>
    </row>
    <row r="625" spans="1:12">
      <c r="A625" s="9">
        <f t="shared" si="13"/>
        <v>36880</v>
      </c>
      <c r="B625" s="10">
        <v>36880</v>
      </c>
      <c r="C625" s="11">
        <v>9.5000000000000001E-2</v>
      </c>
      <c r="E625" s="15" t="str">
        <f t="shared" si="12"/>
        <v>4Q2000</v>
      </c>
      <c r="F625" s="16">
        <v>9.5000000000000001E-2</v>
      </c>
      <c r="J625" s="15"/>
    </row>
    <row r="626" spans="1:12">
      <c r="A626" s="9">
        <f t="shared" si="13"/>
        <v>36911</v>
      </c>
      <c r="B626" s="10">
        <v>36911</v>
      </c>
      <c r="C626" s="11">
        <v>9.0500000000000011E-2</v>
      </c>
      <c r="E626" s="15" t="str">
        <f t="shared" si="12"/>
        <v>1Q2001</v>
      </c>
      <c r="F626" s="16">
        <v>9.5000000000000001E-2</v>
      </c>
      <c r="J626" s="17" t="s">
        <v>9</v>
      </c>
    </row>
    <row r="627" spans="1:12">
      <c r="A627" s="9">
        <f t="shared" si="13"/>
        <v>36942</v>
      </c>
      <c r="B627" s="10">
        <v>36942</v>
      </c>
      <c r="C627" s="11">
        <v>8.5000000000000006E-2</v>
      </c>
      <c r="E627" s="15" t="str">
        <f t="shared" ref="E627:E649" si="14">IF(MONTH(B627)&lt;4,"1",IF(MONTH(B627)&lt;7,"2",IF(MONTH(B627)&lt;10,"3","4")))&amp;"Q"&amp;YEAR(B627)</f>
        <v>1Q2001</v>
      </c>
      <c r="F627" s="16">
        <v>9.5000000000000001E-2</v>
      </c>
      <c r="J627" s="17" t="s">
        <v>10</v>
      </c>
    </row>
    <row r="628" spans="1:12">
      <c r="A628" s="9">
        <f t="shared" si="13"/>
        <v>36970</v>
      </c>
      <c r="B628" s="10">
        <v>36970</v>
      </c>
      <c r="C628" s="11">
        <v>8.3199999999999996E-2</v>
      </c>
      <c r="E628" s="15" t="str">
        <f t="shared" si="14"/>
        <v>1Q2001</v>
      </c>
      <c r="F628" s="16">
        <v>9.5000000000000001E-2</v>
      </c>
      <c r="J628" s="17" t="s">
        <v>11</v>
      </c>
    </row>
    <row r="629" spans="1:12">
      <c r="A629" s="9">
        <f t="shared" si="13"/>
        <v>37001</v>
      </c>
      <c r="B629" s="10">
        <v>37001</v>
      </c>
      <c r="C629" s="11">
        <v>7.8E-2</v>
      </c>
      <c r="E629" s="15" t="str">
        <f t="shared" si="14"/>
        <v>2Q2001</v>
      </c>
      <c r="F629" s="16">
        <v>9.0166666666666673E-2</v>
      </c>
      <c r="J629" s="17" t="s">
        <v>12</v>
      </c>
    </row>
    <row r="630" spans="1:12">
      <c r="A630" s="9">
        <f t="shared" si="13"/>
        <v>37031</v>
      </c>
      <c r="B630" s="10">
        <v>37031</v>
      </c>
      <c r="C630" s="11">
        <v>7.2400000000000006E-2</v>
      </c>
      <c r="E630" s="15" t="str">
        <f t="shared" si="14"/>
        <v>2Q2001</v>
      </c>
      <c r="F630" s="16">
        <v>9.0166666666666673E-2</v>
      </c>
      <c r="J630" s="17" t="s">
        <v>13</v>
      </c>
    </row>
    <row r="631" spans="1:12">
      <c r="A631" s="9">
        <f t="shared" si="13"/>
        <v>37062</v>
      </c>
      <c r="B631" s="10">
        <v>37062</v>
      </c>
      <c r="C631" s="11">
        <v>6.9800000000000001E-2</v>
      </c>
      <c r="E631" s="15" t="str">
        <f t="shared" si="14"/>
        <v>2Q2001</v>
      </c>
      <c r="F631" s="16">
        <v>9.0166666666666673E-2</v>
      </c>
      <c r="J631" s="17" t="s">
        <v>14</v>
      </c>
    </row>
    <row r="632" spans="1:12">
      <c r="A632" s="9">
        <f t="shared" si="13"/>
        <v>37092</v>
      </c>
      <c r="B632" s="10">
        <v>37092</v>
      </c>
      <c r="C632" s="11">
        <v>6.7500000000000004E-2</v>
      </c>
      <c r="E632" s="15" t="str">
        <f t="shared" si="14"/>
        <v>3Q2001</v>
      </c>
      <c r="F632" s="16">
        <v>7.7866666666666681E-2</v>
      </c>
      <c r="J632" s="17" t="s">
        <v>15</v>
      </c>
    </row>
    <row r="633" spans="1:12">
      <c r="A633" s="9">
        <f t="shared" si="13"/>
        <v>37123</v>
      </c>
      <c r="B633" s="10">
        <v>37123</v>
      </c>
      <c r="C633" s="11">
        <v>6.6699999999999995E-2</v>
      </c>
      <c r="E633" s="15" t="str">
        <f t="shared" si="14"/>
        <v>3Q2001</v>
      </c>
      <c r="F633" s="16">
        <v>7.7866666666666681E-2</v>
      </c>
      <c r="J633" s="17" t="s">
        <v>16</v>
      </c>
    </row>
    <row r="634" spans="1:12">
      <c r="A634" s="9">
        <f t="shared" si="13"/>
        <v>37154</v>
      </c>
      <c r="B634" s="10">
        <v>37154</v>
      </c>
      <c r="C634" s="11">
        <v>6.2800000000000009E-2</v>
      </c>
      <c r="E634" s="15" t="str">
        <f t="shared" si="14"/>
        <v>3Q2001</v>
      </c>
      <c r="F634" s="16">
        <v>7.7866666666666681E-2</v>
      </c>
      <c r="J634" s="17" t="s">
        <v>17</v>
      </c>
    </row>
    <row r="635" spans="1:12">
      <c r="A635" s="9">
        <f t="shared" si="13"/>
        <v>37184</v>
      </c>
      <c r="B635" s="10">
        <v>37184</v>
      </c>
      <c r="C635" s="11">
        <v>5.5300000000000002E-2</v>
      </c>
      <c r="E635" s="15" t="str">
        <f t="shared" si="14"/>
        <v>4Q2001</v>
      </c>
      <c r="F635" s="16">
        <v>6.8000000000000005E-2</v>
      </c>
      <c r="J635" s="17" t="s">
        <v>18</v>
      </c>
    </row>
    <row r="636" spans="1:12">
      <c r="A636" s="9">
        <f t="shared" si="13"/>
        <v>37215</v>
      </c>
      <c r="B636" s="10">
        <v>37215</v>
      </c>
      <c r="C636" s="11">
        <v>5.0999999999999997E-2</v>
      </c>
      <c r="E636" s="15" t="str">
        <f t="shared" si="14"/>
        <v>4Q2001</v>
      </c>
      <c r="F636" s="16">
        <v>6.8000000000000005E-2</v>
      </c>
      <c r="J636" s="17" t="s">
        <v>19</v>
      </c>
    </row>
    <row r="637" spans="1:12">
      <c r="A637" s="9">
        <f t="shared" si="13"/>
        <v>37245</v>
      </c>
      <c r="B637" s="10">
        <v>37245</v>
      </c>
      <c r="C637" s="11">
        <v>4.8399999999999999E-2</v>
      </c>
      <c r="E637" s="15" t="str">
        <f t="shared" si="14"/>
        <v>4Q2001</v>
      </c>
      <c r="F637" s="16">
        <v>6.8000000000000005E-2</v>
      </c>
      <c r="J637" s="17" t="s">
        <v>20</v>
      </c>
    </row>
    <row r="638" spans="1:12" s="21" customFormat="1">
      <c r="A638" s="18">
        <f t="shared" si="13"/>
        <v>37276</v>
      </c>
      <c r="B638" s="19">
        <v>37276</v>
      </c>
      <c r="C638" s="20">
        <v>4.7500000000000001E-2</v>
      </c>
      <c r="E638" s="15" t="str">
        <f t="shared" si="14"/>
        <v>1Q2002</v>
      </c>
      <c r="F638" s="16">
        <f>IF(COUNTIF(C634:C636,"&gt;0")&lt;3,"N/A",AVERAGE(C634:C636))</f>
        <v>5.6366666666666669E-2</v>
      </c>
      <c r="G638" s="14"/>
      <c r="H638" s="14"/>
      <c r="I638" s="14"/>
      <c r="J638" s="17" t="s">
        <v>21</v>
      </c>
      <c r="K638" s="14"/>
      <c r="L638" s="14"/>
    </row>
    <row r="639" spans="1:12" s="21" customFormat="1">
      <c r="A639" s="18">
        <f t="shared" si="13"/>
        <v>37307</v>
      </c>
      <c r="B639" s="19">
        <v>37307</v>
      </c>
      <c r="C639" s="20">
        <v>4.7500000000000001E-2</v>
      </c>
      <c r="E639" s="15" t="str">
        <f t="shared" si="14"/>
        <v>1Q2002</v>
      </c>
      <c r="F639" s="16">
        <f t="shared" ref="F639:F649" si="15">+F638</f>
        <v>5.6366666666666669E-2</v>
      </c>
      <c r="G639" s="14"/>
      <c r="H639" s="14"/>
      <c r="I639" s="14"/>
      <c r="J639" s="17" t="s">
        <v>22</v>
      </c>
      <c r="K639" s="14"/>
      <c r="L639" s="14"/>
    </row>
    <row r="640" spans="1:12" s="21" customFormat="1">
      <c r="A640" s="18">
        <f t="shared" si="13"/>
        <v>37335</v>
      </c>
      <c r="B640" s="19">
        <v>37335</v>
      </c>
      <c r="C640" s="20">
        <v>4.7500000000000001E-2</v>
      </c>
      <c r="E640" s="15" t="str">
        <f t="shared" si="14"/>
        <v>1Q2002</v>
      </c>
      <c r="F640" s="16">
        <f t="shared" si="15"/>
        <v>5.6366666666666669E-2</v>
      </c>
      <c r="G640" s="14"/>
      <c r="H640" s="14"/>
      <c r="I640" s="14"/>
      <c r="J640" s="17" t="s">
        <v>23</v>
      </c>
      <c r="K640" s="14"/>
      <c r="L640" s="14"/>
    </row>
    <row r="641" spans="1:12">
      <c r="A641" s="9">
        <f t="shared" si="13"/>
        <v>37366</v>
      </c>
      <c r="B641" s="10">
        <v>37366</v>
      </c>
      <c r="C641" s="11">
        <v>4.7500000000000001E-2</v>
      </c>
      <c r="E641" s="15" t="str">
        <f t="shared" si="14"/>
        <v>2Q2002</v>
      </c>
      <c r="F641" s="16">
        <f>IF(COUNTIF(C637:C639,"&gt;0")&lt;3,"N/A",AVERAGE(C637:C639))</f>
        <v>4.7800000000000002E-2</v>
      </c>
      <c r="J641" s="17" t="s">
        <v>24</v>
      </c>
    </row>
    <row r="642" spans="1:12">
      <c r="A642" s="9">
        <f t="shared" si="13"/>
        <v>37396</v>
      </c>
      <c r="B642" s="10">
        <v>37396</v>
      </c>
      <c r="C642" s="11">
        <v>4.7500000000000001E-2</v>
      </c>
      <c r="E642" s="15" t="str">
        <f t="shared" si="14"/>
        <v>2Q2002</v>
      </c>
      <c r="F642" s="16">
        <f t="shared" si="15"/>
        <v>4.7800000000000002E-2</v>
      </c>
      <c r="G642" s="22"/>
      <c r="H642" s="23"/>
      <c r="I642" s="23"/>
      <c r="J642" s="17" t="s">
        <v>25</v>
      </c>
      <c r="K642" s="21"/>
      <c r="L642" s="21"/>
    </row>
    <row r="643" spans="1:12">
      <c r="A643" s="9">
        <f>+B643</f>
        <v>37427</v>
      </c>
      <c r="B643" s="10">
        <v>37427</v>
      </c>
      <c r="C643" s="11">
        <v>4.7500000000000001E-2</v>
      </c>
      <c r="E643" s="15" t="str">
        <f t="shared" si="14"/>
        <v>2Q2002</v>
      </c>
      <c r="F643" s="16">
        <f t="shared" si="15"/>
        <v>4.7800000000000002E-2</v>
      </c>
      <c r="J643" s="17" t="s">
        <v>26</v>
      </c>
      <c r="K643" s="21"/>
      <c r="L643" s="21"/>
    </row>
    <row r="644" spans="1:12">
      <c r="A644" s="18">
        <f t="shared" si="13"/>
        <v>37457</v>
      </c>
      <c r="B644" s="19">
        <v>37457</v>
      </c>
      <c r="C644" s="11">
        <v>4.7500000000000001E-2</v>
      </c>
      <c r="E644" s="15" t="str">
        <f t="shared" si="14"/>
        <v>3Q2002</v>
      </c>
      <c r="F644" s="16">
        <f>IF(COUNTIF(C640:C642,"&gt;0")&lt;3,"N/A",AVERAGE(C640:C642))</f>
        <v>4.7500000000000007E-2</v>
      </c>
      <c r="J644" s="24" t="s">
        <v>27</v>
      </c>
      <c r="K644" s="21"/>
      <c r="L644" s="21"/>
    </row>
    <row r="645" spans="1:12">
      <c r="A645" s="9">
        <f t="shared" ref="A645:A708" si="16">+B645</f>
        <v>37488</v>
      </c>
      <c r="B645" s="10">
        <v>37488</v>
      </c>
      <c r="C645" s="11">
        <v>4.7500000000000001E-2</v>
      </c>
      <c r="E645" s="15" t="str">
        <f t="shared" si="14"/>
        <v>3Q2002</v>
      </c>
      <c r="F645" s="16">
        <f t="shared" si="15"/>
        <v>4.7500000000000007E-2</v>
      </c>
      <c r="J645" s="17" t="s">
        <v>28</v>
      </c>
    </row>
    <row r="646" spans="1:12">
      <c r="A646" s="9">
        <f t="shared" si="16"/>
        <v>37519</v>
      </c>
      <c r="B646" s="10">
        <v>37519</v>
      </c>
      <c r="C646" s="11">
        <v>4.7500000000000001E-2</v>
      </c>
      <c r="E646" s="15" t="str">
        <f t="shared" si="14"/>
        <v>3Q2002</v>
      </c>
      <c r="F646" s="16">
        <f t="shared" si="15"/>
        <v>4.7500000000000007E-2</v>
      </c>
      <c r="J646" s="17" t="s">
        <v>29</v>
      </c>
    </row>
    <row r="647" spans="1:12">
      <c r="A647" s="9">
        <f t="shared" si="16"/>
        <v>37549</v>
      </c>
      <c r="B647" s="10">
        <v>37549</v>
      </c>
      <c r="C647" s="11">
        <v>4.7500000000000001E-2</v>
      </c>
      <c r="E647" s="15" t="str">
        <f t="shared" si="14"/>
        <v>4Q2002</v>
      </c>
      <c r="F647" s="16">
        <f>IF(COUNTIF(C643:C645,"&gt;0")&lt;3,"N/A",AVERAGE(C643:C645))</f>
        <v>4.7500000000000007E-2</v>
      </c>
      <c r="J647" s="17" t="s">
        <v>30</v>
      </c>
    </row>
    <row r="648" spans="1:12">
      <c r="A648" s="18">
        <f t="shared" si="16"/>
        <v>37580</v>
      </c>
      <c r="B648" s="19">
        <v>37580</v>
      </c>
      <c r="C648" s="25">
        <v>4.3499999999999997E-2</v>
      </c>
      <c r="E648" s="15" t="str">
        <f t="shared" si="14"/>
        <v>4Q2002</v>
      </c>
      <c r="F648" s="16">
        <f t="shared" si="15"/>
        <v>4.7500000000000007E-2</v>
      </c>
      <c r="J648" s="17" t="s">
        <v>31</v>
      </c>
    </row>
    <row r="649" spans="1:12">
      <c r="A649" s="9">
        <f t="shared" si="16"/>
        <v>37610</v>
      </c>
      <c r="B649" s="10">
        <v>37610</v>
      </c>
      <c r="C649" s="25">
        <v>4.2500000000000003E-2</v>
      </c>
      <c r="E649" s="15" t="str">
        <f t="shared" si="14"/>
        <v>4Q2002</v>
      </c>
      <c r="F649" s="16">
        <f t="shared" si="15"/>
        <v>4.7500000000000007E-2</v>
      </c>
      <c r="J649" s="17" t="s">
        <v>32</v>
      </c>
    </row>
    <row r="650" spans="1:12">
      <c r="A650" s="18">
        <f t="shared" si="16"/>
        <v>37641</v>
      </c>
      <c r="B650" s="19">
        <v>37641</v>
      </c>
      <c r="C650" s="25">
        <v>4.2500000000000003E-2</v>
      </c>
      <c r="E650" s="15" t="str">
        <f>IF(MONTH(B650)&lt;4,"1",IF(MONTH(B650)&lt;7,"2",IF(MONTH(B650)&lt;10,"3","4")))&amp;"Q"&amp;YEAR(B650)</f>
        <v>1Q2003</v>
      </c>
      <c r="F650" s="16">
        <f>IF(COUNTIF(C646:C648,"&gt;0")&lt;3,"N/A",AVERAGE(C646:C648))</f>
        <v>4.6166666666666668E-2</v>
      </c>
      <c r="J650" s="26" t="s">
        <v>33</v>
      </c>
    </row>
    <row r="651" spans="1:12">
      <c r="A651" s="9">
        <f t="shared" si="16"/>
        <v>37672</v>
      </c>
      <c r="B651" s="10">
        <v>37672</v>
      </c>
      <c r="C651" s="25">
        <v>4.2500000000000003E-2</v>
      </c>
      <c r="E651" s="15" t="str">
        <f t="shared" ref="E651:E714" si="17">IF(MONTH(B651)&lt;4,"1",IF(MONTH(B651)&lt;7,"2",IF(MONTH(B651)&lt;10,"3","4")))&amp;"Q"&amp;YEAR(B651)</f>
        <v>1Q2003</v>
      </c>
      <c r="F651" s="16">
        <f t="shared" ref="F651:F658" si="18">+F650</f>
        <v>4.6166666666666668E-2</v>
      </c>
      <c r="J651" s="17" t="s">
        <v>34</v>
      </c>
    </row>
    <row r="652" spans="1:12">
      <c r="A652" s="9">
        <f t="shared" si="16"/>
        <v>37700</v>
      </c>
      <c r="B652" s="10">
        <v>37700</v>
      </c>
      <c r="C652" s="25">
        <v>4.2500000000000003E-2</v>
      </c>
      <c r="E652" s="15" t="str">
        <f t="shared" si="17"/>
        <v>1Q2003</v>
      </c>
      <c r="F652" s="16">
        <f t="shared" si="18"/>
        <v>4.6166666666666668E-2</v>
      </c>
      <c r="J652" s="17" t="s">
        <v>35</v>
      </c>
    </row>
    <row r="653" spans="1:12">
      <c r="A653" s="18">
        <f t="shared" si="16"/>
        <v>37731</v>
      </c>
      <c r="B653" s="19">
        <v>37731</v>
      </c>
      <c r="C653" s="25">
        <v>4.2500000000000003E-2</v>
      </c>
      <c r="E653" s="15" t="str">
        <f t="shared" si="17"/>
        <v>2Q2003</v>
      </c>
      <c r="F653" s="16">
        <f>IF(COUNTIF(C649:C651,"&gt;0")&lt;3,"N/A",AVERAGE(C649:C651))</f>
        <v>4.2500000000000003E-2</v>
      </c>
      <c r="J653" s="17" t="s">
        <v>36</v>
      </c>
    </row>
    <row r="654" spans="1:12">
      <c r="A654" s="9">
        <f t="shared" si="16"/>
        <v>37761</v>
      </c>
      <c r="B654" s="10">
        <v>37761</v>
      </c>
      <c r="C654" s="25">
        <v>4.2500000000000003E-2</v>
      </c>
      <c r="E654" s="15" t="str">
        <f t="shared" si="17"/>
        <v>2Q2003</v>
      </c>
      <c r="F654" s="16">
        <f t="shared" si="18"/>
        <v>4.2500000000000003E-2</v>
      </c>
      <c r="J654" s="17" t="s">
        <v>37</v>
      </c>
    </row>
    <row r="655" spans="1:12">
      <c r="A655" s="18">
        <f t="shared" si="16"/>
        <v>37792</v>
      </c>
      <c r="B655" s="19">
        <v>37792</v>
      </c>
      <c r="C655" s="25">
        <v>4.2200000000000001E-2</v>
      </c>
      <c r="E655" s="15" t="str">
        <f t="shared" si="17"/>
        <v>2Q2003</v>
      </c>
      <c r="F655" s="16">
        <f t="shared" si="18"/>
        <v>4.2500000000000003E-2</v>
      </c>
      <c r="J655" s="17" t="s">
        <v>38</v>
      </c>
    </row>
    <row r="656" spans="1:12">
      <c r="A656" s="9">
        <f t="shared" si="16"/>
        <v>37822</v>
      </c>
      <c r="B656" s="10">
        <v>37822</v>
      </c>
      <c r="C656" s="25">
        <v>0.04</v>
      </c>
      <c r="E656" s="15" t="str">
        <f t="shared" si="17"/>
        <v>3Q2003</v>
      </c>
      <c r="F656" s="16">
        <f>IF(COUNTIF(C652:C654,"&gt;0")&lt;3,"N/A",AVERAGE(C652:C654))</f>
        <v>4.2500000000000003E-2</v>
      </c>
      <c r="J656" s="17" t="s">
        <v>39</v>
      </c>
    </row>
    <row r="657" spans="1:10">
      <c r="A657" s="9">
        <f t="shared" si="16"/>
        <v>37853</v>
      </c>
      <c r="B657" s="10">
        <v>37853</v>
      </c>
      <c r="C657" s="25">
        <v>0.04</v>
      </c>
      <c r="E657" s="15" t="str">
        <f t="shared" si="17"/>
        <v>3Q2003</v>
      </c>
      <c r="F657" s="16">
        <f t="shared" si="18"/>
        <v>4.2500000000000003E-2</v>
      </c>
      <c r="J657" s="17" t="s">
        <v>40</v>
      </c>
    </row>
    <row r="658" spans="1:10">
      <c r="A658" s="18">
        <f t="shared" si="16"/>
        <v>37884</v>
      </c>
      <c r="B658" s="19">
        <v>37884</v>
      </c>
      <c r="C658" s="25">
        <v>0.04</v>
      </c>
      <c r="E658" s="15" t="str">
        <f t="shared" si="17"/>
        <v>3Q2003</v>
      </c>
      <c r="F658" s="16">
        <f t="shared" si="18"/>
        <v>4.2500000000000003E-2</v>
      </c>
      <c r="J658" s="17" t="s">
        <v>41</v>
      </c>
    </row>
    <row r="659" spans="1:10">
      <c r="A659" s="9">
        <f t="shared" si="16"/>
        <v>37914</v>
      </c>
      <c r="B659" s="10">
        <v>37914</v>
      </c>
      <c r="C659" s="25">
        <v>0.04</v>
      </c>
      <c r="E659" s="15" t="str">
        <f t="shared" si="17"/>
        <v>4Q2003</v>
      </c>
      <c r="F659" s="16">
        <f>IF(COUNTIF(C655:C657,"&gt;0")&lt;3,"N/A",AVERAGE(C655:C657))</f>
        <v>4.0733333333333337E-2</v>
      </c>
      <c r="J659" s="17" t="s">
        <v>42</v>
      </c>
    </row>
    <row r="660" spans="1:10">
      <c r="A660" s="18">
        <f t="shared" si="16"/>
        <v>37945</v>
      </c>
      <c r="B660" s="19">
        <v>37945</v>
      </c>
      <c r="C660" s="25">
        <v>0.04</v>
      </c>
      <c r="E660" s="15" t="str">
        <f t="shared" si="17"/>
        <v>4Q2003</v>
      </c>
      <c r="F660" s="16">
        <f>+F659</f>
        <v>4.0733333333333337E-2</v>
      </c>
      <c r="J660" s="17" t="s">
        <v>43</v>
      </c>
    </row>
    <row r="661" spans="1:10">
      <c r="A661" s="9">
        <f t="shared" si="16"/>
        <v>37975</v>
      </c>
      <c r="B661" s="10">
        <v>37975</v>
      </c>
      <c r="C661" s="25">
        <v>0.04</v>
      </c>
      <c r="E661" s="15" t="str">
        <f t="shared" si="17"/>
        <v>4Q2003</v>
      </c>
      <c r="F661" s="16">
        <f>+F660</f>
        <v>4.0733333333333337E-2</v>
      </c>
      <c r="J661" s="17" t="s">
        <v>44</v>
      </c>
    </row>
    <row r="662" spans="1:10">
      <c r="A662" s="9">
        <f t="shared" si="16"/>
        <v>38006</v>
      </c>
      <c r="B662" s="10">
        <v>38006</v>
      </c>
      <c r="C662" s="25">
        <v>0.04</v>
      </c>
      <c r="E662" s="15" t="str">
        <f t="shared" si="17"/>
        <v>1Q2004</v>
      </c>
      <c r="F662" s="16">
        <f>IF(COUNTIF(C658:C660,"&gt;0")&lt;3,"N/A",AVERAGE(C658:C660))</f>
        <v>0.04</v>
      </c>
      <c r="J662" s="17" t="s">
        <v>45</v>
      </c>
    </row>
    <row r="663" spans="1:10">
      <c r="A663" s="18">
        <f t="shared" si="16"/>
        <v>38037</v>
      </c>
      <c r="B663" s="19">
        <v>38037</v>
      </c>
      <c r="C663" s="25">
        <v>0.04</v>
      </c>
      <c r="E663" s="15" t="str">
        <f t="shared" si="17"/>
        <v>1Q2004</v>
      </c>
      <c r="F663" s="16">
        <f>+F662</f>
        <v>0.04</v>
      </c>
      <c r="J663" s="17" t="s">
        <v>46</v>
      </c>
    </row>
    <row r="664" spans="1:10">
      <c r="A664" s="9">
        <f t="shared" si="16"/>
        <v>38066</v>
      </c>
      <c r="B664" s="10">
        <v>38066</v>
      </c>
      <c r="C664" s="25">
        <v>0.04</v>
      </c>
      <c r="E664" s="15" t="str">
        <f t="shared" si="17"/>
        <v>1Q2004</v>
      </c>
      <c r="F664" s="16">
        <f>+F663</f>
        <v>0.04</v>
      </c>
      <c r="J664" s="17" t="s">
        <v>47</v>
      </c>
    </row>
    <row r="665" spans="1:10">
      <c r="A665" s="9">
        <f t="shared" si="16"/>
        <v>38097</v>
      </c>
      <c r="B665" s="10">
        <v>38097</v>
      </c>
      <c r="C665" s="25">
        <v>0.04</v>
      </c>
      <c r="E665" s="15" t="str">
        <f t="shared" si="17"/>
        <v>2Q2004</v>
      </c>
      <c r="F665" s="16">
        <f>IF(COUNTIF(C661:C663,"&gt;0")&lt;3,"N/A",AVERAGE(C661:C663))</f>
        <v>0.04</v>
      </c>
      <c r="J665" s="17" t="s">
        <v>48</v>
      </c>
    </row>
    <row r="666" spans="1:10">
      <c r="A666" s="18">
        <f t="shared" si="16"/>
        <v>38127</v>
      </c>
      <c r="B666" s="19">
        <v>38127</v>
      </c>
      <c r="C666" s="25">
        <v>0.04</v>
      </c>
      <c r="E666" s="15" t="str">
        <f t="shared" si="17"/>
        <v>2Q2004</v>
      </c>
      <c r="F666" s="16">
        <f>+F665</f>
        <v>0.04</v>
      </c>
      <c r="J666" s="17" t="s">
        <v>49</v>
      </c>
    </row>
    <row r="667" spans="1:10">
      <c r="A667" s="9">
        <f t="shared" si="16"/>
        <v>38158</v>
      </c>
      <c r="B667" s="10">
        <v>38158</v>
      </c>
      <c r="C667" s="25">
        <v>4.0099999999999997E-2</v>
      </c>
      <c r="E667" s="15" t="str">
        <f t="shared" si="17"/>
        <v>2Q2004</v>
      </c>
      <c r="F667" s="16">
        <f>+F666</f>
        <v>0.04</v>
      </c>
      <c r="J667" s="17" t="s">
        <v>50</v>
      </c>
    </row>
    <row r="668" spans="1:10">
      <c r="A668" s="9">
        <f t="shared" si="16"/>
        <v>38188</v>
      </c>
      <c r="B668" s="10">
        <v>38188</v>
      </c>
      <c r="C668" s="25">
        <v>4.2500000000000003E-2</v>
      </c>
      <c r="E668" s="15" t="str">
        <f t="shared" si="17"/>
        <v>3Q2004</v>
      </c>
      <c r="F668" s="16">
        <f>IF(COUNTIF(C664:C666,"&gt;0")&lt;3,"N/A",AVERAGE(C664:C666))</f>
        <v>0.04</v>
      </c>
      <c r="J668" s="17" t="s">
        <v>51</v>
      </c>
    </row>
    <row r="669" spans="1:10">
      <c r="A669" s="18">
        <f t="shared" si="16"/>
        <v>38219</v>
      </c>
      <c r="B669" s="19">
        <v>38219</v>
      </c>
      <c r="C669" s="25">
        <v>4.4299999999999999E-2</v>
      </c>
      <c r="E669" s="15" t="str">
        <f t="shared" si="17"/>
        <v>3Q2004</v>
      </c>
      <c r="F669" s="16">
        <f>+F668</f>
        <v>0.04</v>
      </c>
      <c r="J669" s="17" t="s">
        <v>52</v>
      </c>
    </row>
    <row r="670" spans="1:10">
      <c r="A670" s="9">
        <f t="shared" si="16"/>
        <v>38250</v>
      </c>
      <c r="B670" s="10">
        <v>38250</v>
      </c>
      <c r="C670" s="25">
        <v>4.58E-2</v>
      </c>
      <c r="E670" s="15" t="str">
        <f t="shared" si="17"/>
        <v>3Q2004</v>
      </c>
      <c r="F670" s="16">
        <f>+F669</f>
        <v>0.04</v>
      </c>
      <c r="J670" s="17" t="s">
        <v>53</v>
      </c>
    </row>
    <row r="671" spans="1:10">
      <c r="A671" s="9">
        <f t="shared" si="16"/>
        <v>38280</v>
      </c>
      <c r="B671" s="10">
        <v>38280</v>
      </c>
      <c r="C671" s="25">
        <v>4.7500000000000001E-2</v>
      </c>
      <c r="E671" s="15" t="str">
        <f t="shared" si="17"/>
        <v>4Q2004</v>
      </c>
      <c r="F671" s="16">
        <f>IF(COUNTIF(C667:C669,"&gt;0")&lt;3,"N/A",AVERAGE(C667:C669))</f>
        <v>4.2300000000000004E-2</v>
      </c>
      <c r="J671" s="17" t="s">
        <v>54</v>
      </c>
    </row>
    <row r="672" spans="1:10">
      <c r="A672" s="18">
        <f t="shared" si="16"/>
        <v>38311</v>
      </c>
      <c r="B672" s="19">
        <v>38311</v>
      </c>
      <c r="C672" s="25">
        <v>4.9299999999999997E-2</v>
      </c>
      <c r="E672" s="15" t="str">
        <f t="shared" si="17"/>
        <v>4Q2004</v>
      </c>
      <c r="F672" s="16">
        <f>+F671</f>
        <v>4.2300000000000004E-2</v>
      </c>
      <c r="J672" s="17" t="s">
        <v>55</v>
      </c>
    </row>
    <row r="673" spans="1:12">
      <c r="A673" s="9">
        <f t="shared" si="16"/>
        <v>38341</v>
      </c>
      <c r="B673" s="10">
        <v>38341</v>
      </c>
      <c r="C673" s="25">
        <v>5.1499999999999997E-2</v>
      </c>
      <c r="E673" s="15" t="str">
        <f t="shared" si="17"/>
        <v>4Q2004</v>
      </c>
      <c r="F673" s="16">
        <f>+F672</f>
        <v>4.2300000000000004E-2</v>
      </c>
      <c r="J673" s="17" t="s">
        <v>56</v>
      </c>
    </row>
    <row r="674" spans="1:12">
      <c r="A674" s="9">
        <f t="shared" si="16"/>
        <v>38372</v>
      </c>
      <c r="B674" s="10">
        <v>38372</v>
      </c>
      <c r="C674" s="25">
        <v>5.2499999999999998E-2</v>
      </c>
      <c r="E674" s="15" t="str">
        <f t="shared" si="17"/>
        <v>1Q2005</v>
      </c>
      <c r="F674" s="16">
        <f>IF(COUNTIF(C670:C672,"&gt;0")&lt;3,"N/A",AVERAGE(C670:C672))</f>
        <v>4.7533333333333337E-2</v>
      </c>
      <c r="J674" s="17" t="s">
        <v>57</v>
      </c>
    </row>
    <row r="675" spans="1:12" s="6" customFormat="1">
      <c r="A675" s="18">
        <f t="shared" si="16"/>
        <v>38403</v>
      </c>
      <c r="B675" s="19">
        <v>38403</v>
      </c>
      <c r="C675" s="25">
        <v>5.4899999999999997E-2</v>
      </c>
      <c r="D675" s="14"/>
      <c r="E675" s="15" t="str">
        <f t="shared" si="17"/>
        <v>1Q2005</v>
      </c>
      <c r="F675" s="16">
        <f>+F674</f>
        <v>4.7533333333333337E-2</v>
      </c>
      <c r="J675" s="17" t="s">
        <v>58</v>
      </c>
      <c r="K675" s="14"/>
      <c r="L675" s="14"/>
    </row>
    <row r="676" spans="1:12" s="6" customFormat="1">
      <c r="A676" s="9">
        <f t="shared" si="16"/>
        <v>38431</v>
      </c>
      <c r="B676" s="10">
        <v>38431</v>
      </c>
      <c r="C676" s="25">
        <v>5.5800000000000002E-2</v>
      </c>
      <c r="D676" s="14"/>
      <c r="E676" s="15" t="str">
        <f t="shared" si="17"/>
        <v>1Q2005</v>
      </c>
      <c r="F676" s="16">
        <f>+F675</f>
        <v>4.7533333333333337E-2</v>
      </c>
      <c r="J676" s="17" t="s">
        <v>59</v>
      </c>
      <c r="K676" s="14"/>
      <c r="L676" s="14"/>
    </row>
    <row r="677" spans="1:12">
      <c r="A677" s="9">
        <f t="shared" si="16"/>
        <v>38462</v>
      </c>
      <c r="B677" s="10">
        <v>38462</v>
      </c>
      <c r="C677" s="25">
        <v>5.7500000000000002E-2</v>
      </c>
      <c r="E677" s="15" t="str">
        <f t="shared" si="17"/>
        <v>2Q2005</v>
      </c>
      <c r="F677" s="16">
        <f>IF(COUNTIF(C673:C675,"&gt;0")&lt;3,"N/A",AVERAGE(C673:C675))</f>
        <v>5.2966666666666662E-2</v>
      </c>
      <c r="J677" s="17" t="s">
        <v>60</v>
      </c>
    </row>
    <row r="678" spans="1:12">
      <c r="A678" s="18">
        <f t="shared" si="16"/>
        <v>38492</v>
      </c>
      <c r="B678" s="19">
        <v>38492</v>
      </c>
      <c r="C678" s="25">
        <v>5.9799999999999999E-2</v>
      </c>
      <c r="E678" s="15" t="str">
        <f t="shared" si="17"/>
        <v>2Q2005</v>
      </c>
      <c r="F678" s="16">
        <f>+F677</f>
        <v>5.2966666666666662E-2</v>
      </c>
      <c r="J678" s="17" t="s">
        <v>61</v>
      </c>
    </row>
    <row r="679" spans="1:12">
      <c r="A679" s="9">
        <f t="shared" si="16"/>
        <v>38523</v>
      </c>
      <c r="B679" s="10">
        <v>38523</v>
      </c>
      <c r="C679" s="25">
        <v>6.0100000000000001E-2</v>
      </c>
      <c r="E679" s="15" t="str">
        <f t="shared" si="17"/>
        <v>2Q2005</v>
      </c>
      <c r="F679" s="16">
        <f>+F678</f>
        <v>5.2966666666666662E-2</v>
      </c>
      <c r="J679" s="27" t="s">
        <v>62</v>
      </c>
      <c r="K679" s="6"/>
      <c r="L679" s="6"/>
    </row>
    <row r="680" spans="1:12">
      <c r="A680" s="9">
        <f t="shared" si="16"/>
        <v>38553</v>
      </c>
      <c r="B680" s="10">
        <v>38553</v>
      </c>
      <c r="C680" s="25">
        <v>6.25E-2</v>
      </c>
      <c r="E680" s="15" t="str">
        <f t="shared" si="17"/>
        <v>3Q2005</v>
      </c>
      <c r="F680" s="16">
        <f>IF(COUNTIF(C676:C678,"&gt;0")&lt;3,"N/A",AVERAGE(C676:C678))</f>
        <v>5.7700000000000001E-2</v>
      </c>
      <c r="J680" s="27" t="s">
        <v>63</v>
      </c>
      <c r="K680" s="6"/>
      <c r="L680" s="6"/>
    </row>
    <row r="681" spans="1:12">
      <c r="A681" s="18">
        <f t="shared" si="16"/>
        <v>38584</v>
      </c>
      <c r="B681" s="19">
        <v>38584</v>
      </c>
      <c r="C681" s="25">
        <v>6.4399999999999999E-2</v>
      </c>
      <c r="E681" s="15" t="str">
        <f t="shared" si="17"/>
        <v>3Q2005</v>
      </c>
      <c r="F681" s="16">
        <f>+F680</f>
        <v>5.7700000000000001E-2</v>
      </c>
      <c r="J681" s="17" t="s">
        <v>64</v>
      </c>
    </row>
    <row r="682" spans="1:12">
      <c r="A682" s="9">
        <f t="shared" si="16"/>
        <v>38615</v>
      </c>
      <c r="B682" s="10">
        <v>38615</v>
      </c>
      <c r="C682" s="25">
        <v>6.59E-2</v>
      </c>
      <c r="E682" s="15" t="str">
        <f t="shared" si="17"/>
        <v>3Q2005</v>
      </c>
      <c r="F682" s="16">
        <f>+F681</f>
        <v>5.7700000000000001E-2</v>
      </c>
      <c r="J682" s="17" t="s">
        <v>65</v>
      </c>
    </row>
    <row r="683" spans="1:12">
      <c r="A683" s="9">
        <f t="shared" si="16"/>
        <v>38645</v>
      </c>
      <c r="B683" s="10">
        <v>38645</v>
      </c>
      <c r="C683" s="25">
        <v>6.7500000000000004E-2</v>
      </c>
      <c r="E683" s="15" t="str">
        <f t="shared" si="17"/>
        <v>4Q2005</v>
      </c>
      <c r="F683" s="16">
        <f>IF(COUNTIF(C679:C681,"&gt;0")&lt;3,"N/A",AVERAGE(C679:C681))</f>
        <v>6.2333333333333331E-2</v>
      </c>
      <c r="J683" s="17" t="s">
        <v>66</v>
      </c>
    </row>
    <row r="684" spans="1:12">
      <c r="A684" s="18">
        <f t="shared" si="16"/>
        <v>38676</v>
      </c>
      <c r="B684" s="19">
        <v>38676</v>
      </c>
      <c r="C684" s="25">
        <v>7.0000000000000007E-2</v>
      </c>
      <c r="E684" s="15" t="str">
        <f t="shared" si="17"/>
        <v>4Q2005</v>
      </c>
      <c r="F684" s="16">
        <f>+F683</f>
        <v>6.2333333333333331E-2</v>
      </c>
      <c r="J684" s="17" t="s">
        <v>67</v>
      </c>
    </row>
    <row r="685" spans="1:12">
      <c r="A685" s="9">
        <f t="shared" si="16"/>
        <v>38706</v>
      </c>
      <c r="B685" s="10">
        <v>38706</v>
      </c>
      <c r="C685" s="25">
        <v>7.1499999999999994E-2</v>
      </c>
      <c r="E685" s="15" t="str">
        <f t="shared" si="17"/>
        <v>4Q2005</v>
      </c>
      <c r="F685" s="16">
        <f>+F684</f>
        <v>6.2333333333333331E-2</v>
      </c>
      <c r="J685" s="17" t="s">
        <v>68</v>
      </c>
    </row>
    <row r="686" spans="1:12">
      <c r="A686" s="9">
        <f t="shared" si="16"/>
        <v>38737</v>
      </c>
      <c r="B686" s="10">
        <v>38737</v>
      </c>
      <c r="C686" s="25">
        <v>7.2599999999999998E-2</v>
      </c>
      <c r="E686" s="15" t="str">
        <f t="shared" si="17"/>
        <v>1Q2006</v>
      </c>
      <c r="F686" s="16">
        <f>IF(COUNTIF(C682:C684,"&gt;0")&lt;3,"N/A",AVERAGE(C682:C684))</f>
        <v>6.7800000000000013E-2</v>
      </c>
      <c r="J686" s="17" t="s">
        <v>69</v>
      </c>
    </row>
    <row r="687" spans="1:12">
      <c r="A687" s="18">
        <f t="shared" si="16"/>
        <v>38768</v>
      </c>
      <c r="B687" s="19">
        <v>38768</v>
      </c>
      <c r="C687" s="25">
        <v>7.4999999999999997E-2</v>
      </c>
      <c r="E687" s="15" t="str">
        <f t="shared" si="17"/>
        <v>1Q2006</v>
      </c>
      <c r="F687" s="16">
        <f>+F686</f>
        <v>6.7800000000000013E-2</v>
      </c>
      <c r="J687" s="17" t="s">
        <v>70</v>
      </c>
    </row>
    <row r="688" spans="1:12">
      <c r="A688" s="9">
        <f t="shared" si="16"/>
        <v>38796</v>
      </c>
      <c r="B688" s="10">
        <v>38796</v>
      </c>
      <c r="C688" s="25">
        <v>7.5300000000000006E-2</v>
      </c>
      <c r="E688" s="15" t="str">
        <f t="shared" si="17"/>
        <v>1Q2006</v>
      </c>
      <c r="F688" s="16">
        <f>+F687</f>
        <v>6.7800000000000013E-2</v>
      </c>
      <c r="J688" s="17" t="s">
        <v>71</v>
      </c>
    </row>
    <row r="689" spans="1:10">
      <c r="A689" s="9">
        <f t="shared" si="16"/>
        <v>38827</v>
      </c>
      <c r="B689" s="10">
        <v>38827</v>
      </c>
      <c r="C689" s="25">
        <v>7.7499999999999999E-2</v>
      </c>
      <c r="E689" s="15" t="str">
        <f t="shared" si="17"/>
        <v>2Q2006</v>
      </c>
      <c r="F689" s="16">
        <f>IF(COUNTIF(C685:C687,"&gt;0")&lt;3,"N/A",AVERAGE(C685:C687))</f>
        <v>7.3033333333333339E-2</v>
      </c>
      <c r="J689" s="17" t="s">
        <v>72</v>
      </c>
    </row>
    <row r="690" spans="1:10">
      <c r="A690" s="18">
        <f t="shared" si="16"/>
        <v>38857</v>
      </c>
      <c r="B690" s="19">
        <v>38857</v>
      </c>
      <c r="C690" s="25">
        <v>7.9299999999999995E-2</v>
      </c>
      <c r="E690" s="15" t="str">
        <f t="shared" si="17"/>
        <v>2Q2006</v>
      </c>
      <c r="F690" s="16">
        <f>+F689</f>
        <v>7.3033333333333339E-2</v>
      </c>
      <c r="J690" s="17" t="s">
        <v>73</v>
      </c>
    </row>
    <row r="691" spans="1:10">
      <c r="A691" s="9">
        <f t="shared" si="16"/>
        <v>38888</v>
      </c>
      <c r="B691" s="10">
        <v>38888</v>
      </c>
      <c r="C691" s="25">
        <v>8.0199999999999994E-2</v>
      </c>
      <c r="E691" s="15" t="str">
        <f t="shared" si="17"/>
        <v>2Q2006</v>
      </c>
      <c r="F691" s="16">
        <f>+F690</f>
        <v>7.3033333333333339E-2</v>
      </c>
      <c r="J691" s="17" t="s">
        <v>74</v>
      </c>
    </row>
    <row r="692" spans="1:10">
      <c r="A692" s="9">
        <f t="shared" si="16"/>
        <v>38918</v>
      </c>
      <c r="B692" s="10">
        <v>38918</v>
      </c>
      <c r="C692" s="25">
        <v>8.2500000000000004E-2</v>
      </c>
      <c r="E692" s="15" t="str">
        <f t="shared" si="17"/>
        <v>3Q2006</v>
      </c>
      <c r="F692" s="16">
        <f>IF(COUNTIF(C688:C690,"&gt;0")&lt;3,"N/A",AVERAGE(C688:C690))</f>
        <v>7.7366666666666653E-2</v>
      </c>
      <c r="J692" s="17" t="s">
        <v>75</v>
      </c>
    </row>
    <row r="693" spans="1:10">
      <c r="A693" s="18">
        <f t="shared" si="16"/>
        <v>38949</v>
      </c>
      <c r="B693" s="19">
        <v>38949</v>
      </c>
      <c r="C693" s="25">
        <v>8.2500000000000004E-2</v>
      </c>
      <c r="E693" s="15" t="str">
        <f t="shared" si="17"/>
        <v>3Q2006</v>
      </c>
      <c r="F693" s="16">
        <f>+F692</f>
        <v>7.7366666666666653E-2</v>
      </c>
      <c r="J693" s="17" t="s">
        <v>76</v>
      </c>
    </row>
    <row r="694" spans="1:10">
      <c r="A694" s="9">
        <f t="shared" si="16"/>
        <v>38980</v>
      </c>
      <c r="B694" s="10">
        <v>38980</v>
      </c>
      <c r="C694" s="25">
        <v>8.2500000000000004E-2</v>
      </c>
      <c r="E694" s="15" t="str">
        <f t="shared" si="17"/>
        <v>3Q2006</v>
      </c>
      <c r="F694" s="16">
        <f>+F693</f>
        <v>7.7366666666666653E-2</v>
      </c>
      <c r="J694" s="17" t="s">
        <v>77</v>
      </c>
    </row>
    <row r="695" spans="1:10">
      <c r="A695" s="9">
        <f t="shared" si="16"/>
        <v>39010</v>
      </c>
      <c r="B695" s="10">
        <v>39010</v>
      </c>
      <c r="C695" s="25">
        <v>8.2500000000000004E-2</v>
      </c>
      <c r="E695" s="15" t="str">
        <f t="shared" si="17"/>
        <v>4Q2006</v>
      </c>
      <c r="F695" s="16">
        <f>IF(COUNTIF(C691:C693,"&gt;0")&lt;3,"N/A",AVERAGE(C691:C693))</f>
        <v>8.1733333333333338E-2</v>
      </c>
      <c r="J695" s="17" t="s">
        <v>78</v>
      </c>
    </row>
    <row r="696" spans="1:10">
      <c r="A696" s="18">
        <f t="shared" si="16"/>
        <v>39041</v>
      </c>
      <c r="B696" s="19">
        <v>39041</v>
      </c>
      <c r="C696" s="25">
        <v>8.2500000000000004E-2</v>
      </c>
      <c r="E696" s="15" t="str">
        <f t="shared" si="17"/>
        <v>4Q2006</v>
      </c>
      <c r="F696" s="16">
        <f>+F695</f>
        <v>8.1733333333333338E-2</v>
      </c>
      <c r="J696" s="17" t="s">
        <v>79</v>
      </c>
    </row>
    <row r="697" spans="1:10">
      <c r="A697" s="9">
        <f t="shared" si="16"/>
        <v>39071</v>
      </c>
      <c r="B697" s="10">
        <v>39071</v>
      </c>
      <c r="C697" s="25">
        <v>8.2500000000000004E-2</v>
      </c>
      <c r="E697" s="15" t="str">
        <f t="shared" si="17"/>
        <v>4Q2006</v>
      </c>
      <c r="F697" s="16">
        <f>+F696</f>
        <v>8.1733333333333338E-2</v>
      </c>
      <c r="J697" s="17" t="s">
        <v>80</v>
      </c>
    </row>
    <row r="698" spans="1:10">
      <c r="A698" s="9">
        <f t="shared" si="16"/>
        <v>39102</v>
      </c>
      <c r="B698" s="10">
        <v>39102</v>
      </c>
      <c r="C698" s="25">
        <v>8.2500000000000004E-2</v>
      </c>
      <c r="E698" s="15" t="str">
        <f t="shared" si="17"/>
        <v>1Q2007</v>
      </c>
      <c r="F698" s="16">
        <f>IF(COUNTIF(C694:C696,"&gt;0")&lt;3,"N/A",AVERAGE(C694:C696))</f>
        <v>8.2500000000000004E-2</v>
      </c>
      <c r="H698" s="12">
        <v>39083</v>
      </c>
      <c r="J698" s="17" t="s">
        <v>81</v>
      </c>
    </row>
    <row r="699" spans="1:10">
      <c r="A699" s="18">
        <f t="shared" si="16"/>
        <v>39133</v>
      </c>
      <c r="B699" s="19">
        <v>39133</v>
      </c>
      <c r="C699" s="25">
        <v>8.2500000000000004E-2</v>
      </c>
      <c r="E699" s="15" t="str">
        <f t="shared" si="17"/>
        <v>1Q2007</v>
      </c>
      <c r="F699" s="16">
        <f>+F698</f>
        <v>8.2500000000000004E-2</v>
      </c>
      <c r="H699" s="12">
        <v>39114</v>
      </c>
      <c r="J699" s="17" t="s">
        <v>82</v>
      </c>
    </row>
    <row r="700" spans="1:10">
      <c r="A700" s="9">
        <f t="shared" si="16"/>
        <v>39161</v>
      </c>
      <c r="B700" s="10">
        <v>39161</v>
      </c>
      <c r="C700" s="25">
        <v>8.2500000000000004E-2</v>
      </c>
      <c r="E700" s="15" t="str">
        <f t="shared" si="17"/>
        <v>1Q2007</v>
      </c>
      <c r="F700" s="16">
        <f>+F699</f>
        <v>8.2500000000000004E-2</v>
      </c>
      <c r="H700" s="12">
        <v>39142</v>
      </c>
      <c r="I700" s="28">
        <f>AVERAGE(C688:C699)</f>
        <v>8.1025E-2</v>
      </c>
      <c r="J700" s="17" t="s">
        <v>83</v>
      </c>
    </row>
    <row r="701" spans="1:10">
      <c r="A701" s="9">
        <f t="shared" si="16"/>
        <v>39192</v>
      </c>
      <c r="B701" s="10">
        <v>39192</v>
      </c>
      <c r="C701" s="25">
        <v>8.2500000000000004E-2</v>
      </c>
      <c r="E701" s="15" t="str">
        <f t="shared" si="17"/>
        <v>2Q2007</v>
      </c>
      <c r="F701" s="16">
        <f>IF(COUNTIF(C697:C699,"&gt;0")&lt;3,"N/A",AVERAGE(C697:C699))</f>
        <v>8.2500000000000004E-2</v>
      </c>
      <c r="H701" s="12">
        <v>39173</v>
      </c>
      <c r="I701" s="28">
        <f t="shared" ref="I701:I727" si="19">AVERAGE(C689:C700)</f>
        <v>8.1625000000000017E-2</v>
      </c>
      <c r="J701" s="17" t="s">
        <v>84</v>
      </c>
    </row>
    <row r="702" spans="1:10">
      <c r="A702" s="18">
        <f t="shared" si="16"/>
        <v>39222</v>
      </c>
      <c r="B702" s="19">
        <v>39222</v>
      </c>
      <c r="C702" s="25">
        <v>8.2500000000000004E-2</v>
      </c>
      <c r="E702" s="15" t="str">
        <f t="shared" si="17"/>
        <v>2Q2007</v>
      </c>
      <c r="F702" s="16">
        <f>+F701</f>
        <v>8.2500000000000004E-2</v>
      </c>
      <c r="H702" s="12">
        <v>39203</v>
      </c>
      <c r="I702" s="28">
        <f t="shared" si="19"/>
        <v>8.2041666666666679E-2</v>
      </c>
      <c r="J702" s="17" t="s">
        <v>85</v>
      </c>
    </row>
    <row r="703" spans="1:10">
      <c r="A703" s="9">
        <f t="shared" si="16"/>
        <v>39253</v>
      </c>
      <c r="B703" s="10">
        <v>39253</v>
      </c>
      <c r="C703" s="29">
        <v>8.2500000000000004E-2</v>
      </c>
      <c r="E703" s="15" t="str">
        <f t="shared" si="17"/>
        <v>2Q2007</v>
      </c>
      <c r="F703" s="16">
        <f>+F702</f>
        <v>8.2500000000000004E-2</v>
      </c>
      <c r="H703" s="12">
        <v>39234</v>
      </c>
      <c r="I703" s="28">
        <f t="shared" si="19"/>
        <v>8.2308333333333344E-2</v>
      </c>
      <c r="J703" s="17" t="s">
        <v>86</v>
      </c>
    </row>
    <row r="704" spans="1:10">
      <c r="A704" s="9">
        <f t="shared" si="16"/>
        <v>39283</v>
      </c>
      <c r="B704" s="10">
        <v>39283</v>
      </c>
      <c r="C704" s="29">
        <v>8.2500000000000004E-2</v>
      </c>
      <c r="E704" s="15" t="str">
        <f t="shared" si="17"/>
        <v>3Q2007</v>
      </c>
      <c r="F704" s="16">
        <f>IF(COUNTIF(C700:C702,"&gt;0")&lt;3,"N/A",AVERAGE(C700:C702))</f>
        <v>8.2500000000000004E-2</v>
      </c>
      <c r="H704" s="12">
        <v>39264</v>
      </c>
      <c r="I704" s="28">
        <f t="shared" si="19"/>
        <v>8.2500000000000004E-2</v>
      </c>
      <c r="J704" s="17" t="s">
        <v>87</v>
      </c>
    </row>
    <row r="705" spans="1:10">
      <c r="A705" s="18">
        <f t="shared" si="16"/>
        <v>39314</v>
      </c>
      <c r="B705" s="19">
        <v>39314</v>
      </c>
      <c r="C705" s="29">
        <v>8.2500000000000004E-2</v>
      </c>
      <c r="E705" s="15" t="str">
        <f t="shared" si="17"/>
        <v>3Q2007</v>
      </c>
      <c r="F705" s="16">
        <f>+F704</f>
        <v>8.2500000000000004E-2</v>
      </c>
      <c r="H705" s="12">
        <v>39295</v>
      </c>
      <c r="I705" s="28">
        <f t="shared" si="19"/>
        <v>8.2500000000000004E-2</v>
      </c>
      <c r="J705" s="17" t="s">
        <v>88</v>
      </c>
    </row>
    <row r="706" spans="1:10">
      <c r="A706" s="9">
        <f t="shared" si="16"/>
        <v>39345</v>
      </c>
      <c r="B706" s="10">
        <v>39345</v>
      </c>
      <c r="C706" s="29">
        <v>8.0299999999999996E-2</v>
      </c>
      <c r="D706" s="21"/>
      <c r="E706" s="30" t="str">
        <f t="shared" si="17"/>
        <v>3Q2007</v>
      </c>
      <c r="F706" s="16">
        <f>+F705</f>
        <v>8.2500000000000004E-2</v>
      </c>
      <c r="G706" s="21"/>
      <c r="H706" s="12">
        <v>39326</v>
      </c>
      <c r="I706" s="28">
        <f t="shared" si="19"/>
        <v>8.2500000000000004E-2</v>
      </c>
      <c r="J706" s="17" t="s">
        <v>89</v>
      </c>
    </row>
    <row r="707" spans="1:10">
      <c r="A707" s="9">
        <f t="shared" si="16"/>
        <v>39375</v>
      </c>
      <c r="B707" s="10">
        <v>39375</v>
      </c>
      <c r="C707" s="29">
        <v>7.7399999999999997E-2</v>
      </c>
      <c r="D707" s="21"/>
      <c r="E707" s="30" t="str">
        <f t="shared" si="17"/>
        <v>4Q2007</v>
      </c>
      <c r="F707" s="16">
        <f>IF(COUNTIF(C703:C705,"&gt;0")&lt;3,"N/A",AVERAGE(C703:C705))</f>
        <v>8.2500000000000004E-2</v>
      </c>
      <c r="G707" s="21"/>
      <c r="H707" s="12">
        <v>39356</v>
      </c>
      <c r="I707" s="28">
        <f t="shared" si="19"/>
        <v>8.2316666666666677E-2</v>
      </c>
      <c r="J707" s="17" t="s">
        <v>90</v>
      </c>
    </row>
    <row r="708" spans="1:10">
      <c r="A708" s="18">
        <f t="shared" si="16"/>
        <v>39406</v>
      </c>
      <c r="B708" s="19">
        <v>39406</v>
      </c>
      <c r="C708" s="29">
        <v>7.4999999999999997E-2</v>
      </c>
      <c r="D708" s="21"/>
      <c r="E708" s="30" t="str">
        <f t="shared" si="17"/>
        <v>4Q2007</v>
      </c>
      <c r="F708" s="16">
        <f>+F707</f>
        <v>8.2500000000000004E-2</v>
      </c>
      <c r="G708" s="21"/>
      <c r="H708" s="12">
        <v>39387</v>
      </c>
      <c r="I708" s="28">
        <f>AVERAGE(C696:C707)</f>
        <v>8.1891666666666682E-2</v>
      </c>
      <c r="J708" s="17" t="s">
        <v>91</v>
      </c>
    </row>
    <row r="709" spans="1:10">
      <c r="A709" s="9">
        <f t="shared" ref="A709:A772" si="20">+B709</f>
        <v>39436</v>
      </c>
      <c r="B709" s="10">
        <v>39436</v>
      </c>
      <c r="C709" s="29">
        <v>7.3300000000000004E-2</v>
      </c>
      <c r="D709" s="21"/>
      <c r="E709" s="30" t="str">
        <f t="shared" si="17"/>
        <v>4Q2007</v>
      </c>
      <c r="F709" s="16">
        <f>+F708</f>
        <v>8.2500000000000004E-2</v>
      </c>
      <c r="G709" s="21"/>
      <c r="H709" s="12">
        <v>39417</v>
      </c>
      <c r="I709" s="28">
        <f t="shared" si="19"/>
        <v>8.1266666666666668E-2</v>
      </c>
      <c r="J709" s="17" t="s">
        <v>92</v>
      </c>
    </row>
    <row r="710" spans="1:10">
      <c r="A710" s="9">
        <f t="shared" si="20"/>
        <v>39467</v>
      </c>
      <c r="B710" s="10">
        <v>39467</v>
      </c>
      <c r="C710" s="29">
        <v>6.9800000000000001E-2</v>
      </c>
      <c r="D710" s="21"/>
      <c r="E710" s="30" t="str">
        <f t="shared" si="17"/>
        <v>1Q2008</v>
      </c>
      <c r="F710" s="16">
        <f>IF(COUNTIF(C706:C708,"&gt;0")&lt;3,"N/A",AVERAGE(C706:C708))</f>
        <v>7.7566666666666673E-2</v>
      </c>
      <c r="G710" s="21"/>
      <c r="H710" s="12">
        <v>39448</v>
      </c>
      <c r="I710" s="28">
        <f t="shared" si="19"/>
        <v>8.0500000000000002E-2</v>
      </c>
      <c r="J710" s="17" t="s">
        <v>93</v>
      </c>
    </row>
    <row r="711" spans="1:10">
      <c r="A711" s="18">
        <f t="shared" si="20"/>
        <v>39498</v>
      </c>
      <c r="B711" s="19">
        <v>39498</v>
      </c>
      <c r="C711" s="29">
        <v>0.06</v>
      </c>
      <c r="D711" s="21"/>
      <c r="E711" s="30" t="str">
        <f t="shared" si="17"/>
        <v>1Q2008</v>
      </c>
      <c r="F711" s="16">
        <f>+F710</f>
        <v>7.7566666666666673E-2</v>
      </c>
      <c r="G711" s="21"/>
      <c r="H711" s="12">
        <v>39479</v>
      </c>
      <c r="I711" s="28">
        <f t="shared" si="19"/>
        <v>7.9441666666666674E-2</v>
      </c>
      <c r="J711" s="17" t="s">
        <v>94</v>
      </c>
    </row>
    <row r="712" spans="1:10">
      <c r="A712" s="9">
        <f t="shared" si="20"/>
        <v>39527</v>
      </c>
      <c r="B712" s="10">
        <v>39527</v>
      </c>
      <c r="C712" s="29">
        <v>5.6599999999999998E-2</v>
      </c>
      <c r="D712" s="21"/>
      <c r="E712" s="30" t="str">
        <f t="shared" si="17"/>
        <v>1Q2008</v>
      </c>
      <c r="F712" s="16">
        <f>+F711</f>
        <v>7.7566666666666673E-2</v>
      </c>
      <c r="G712" s="21"/>
      <c r="H712" s="12">
        <v>39508</v>
      </c>
      <c r="I712" s="28">
        <f t="shared" si="19"/>
        <v>7.7566666666666673E-2</v>
      </c>
      <c r="J712" s="17" t="s">
        <v>95</v>
      </c>
    </row>
    <row r="713" spans="1:10">
      <c r="A713" s="9">
        <f t="shared" si="20"/>
        <v>39558</v>
      </c>
      <c r="B713" s="10">
        <v>39558</v>
      </c>
      <c r="C713" s="29">
        <v>5.2400000000000002E-2</v>
      </c>
      <c r="D713" s="21"/>
      <c r="E713" s="30" t="str">
        <f t="shared" si="17"/>
        <v>2Q2008</v>
      </c>
      <c r="F713" s="16">
        <f>IF(COUNTIF(C709:C711,"&gt;0")&lt;3,"N/A",AVERAGE(C709:C711))</f>
        <v>6.7699999999999996E-2</v>
      </c>
      <c r="G713" s="21"/>
      <c r="H713" s="12">
        <v>39539</v>
      </c>
      <c r="I713" s="28">
        <f t="shared" si="19"/>
        <v>7.5408333333333341E-2</v>
      </c>
      <c r="J713" s="17" t="s">
        <v>96</v>
      </c>
    </row>
    <row r="714" spans="1:10">
      <c r="A714" s="18">
        <f t="shared" si="20"/>
        <v>39588</v>
      </c>
      <c r="B714" s="19">
        <v>39588</v>
      </c>
      <c r="C714" s="29">
        <v>0.05</v>
      </c>
      <c r="D714" s="21"/>
      <c r="E714" s="30" t="str">
        <f t="shared" si="17"/>
        <v>2Q2008</v>
      </c>
      <c r="F714" s="16">
        <f>+F713</f>
        <v>6.7699999999999996E-2</v>
      </c>
      <c r="G714" s="21"/>
      <c r="H714" s="12">
        <v>39569</v>
      </c>
      <c r="I714" s="28">
        <f t="shared" si="19"/>
        <v>7.2900000000000006E-2</v>
      </c>
      <c r="J714" s="31" t="s">
        <v>97</v>
      </c>
    </row>
    <row r="715" spans="1:10">
      <c r="A715" s="9">
        <f t="shared" si="20"/>
        <v>39619</v>
      </c>
      <c r="B715" s="10">
        <v>39619</v>
      </c>
      <c r="C715" s="29">
        <v>0.05</v>
      </c>
      <c r="D715" s="21"/>
      <c r="E715" s="30" t="str">
        <f t="shared" ref="E715:E778" si="21">IF(MONTH(B715)&lt;4,"1",IF(MONTH(B715)&lt;7,"2",IF(MONTH(B715)&lt;10,"3","4")))&amp;"Q"&amp;YEAR(B715)</f>
        <v>2Q2008</v>
      </c>
      <c r="F715" s="16">
        <f>+F714</f>
        <v>6.7699999999999996E-2</v>
      </c>
      <c r="G715" s="21"/>
      <c r="H715" s="12">
        <v>39600</v>
      </c>
      <c r="I715" s="28">
        <f t="shared" si="19"/>
        <v>7.0191666666666666E-2</v>
      </c>
      <c r="J715" s="17" t="s">
        <v>98</v>
      </c>
    </row>
    <row r="716" spans="1:10">
      <c r="A716" s="9">
        <f t="shared" si="20"/>
        <v>39649</v>
      </c>
      <c r="B716" s="10">
        <v>39649</v>
      </c>
      <c r="C716" s="29">
        <v>0.05</v>
      </c>
      <c r="D716" s="21"/>
      <c r="E716" s="30" t="str">
        <f t="shared" si="21"/>
        <v>3Q2008</v>
      </c>
      <c r="F716" s="16">
        <f>IF(COUNTIF(C712:C714,"&gt;0")&lt;3,"N/A",AVERAGE(C712:C714))</f>
        <v>5.2999999999999999E-2</v>
      </c>
      <c r="G716" s="21"/>
      <c r="H716" s="12">
        <v>39630</v>
      </c>
      <c r="I716" s="28">
        <f t="shared" si="19"/>
        <v>6.748333333333334E-2</v>
      </c>
      <c r="J716" s="17" t="s">
        <v>99</v>
      </c>
    </row>
    <row r="717" spans="1:10">
      <c r="A717" s="18">
        <f t="shared" si="20"/>
        <v>39680</v>
      </c>
      <c r="B717" s="19">
        <v>39680</v>
      </c>
      <c r="C717" s="25">
        <v>0.05</v>
      </c>
      <c r="E717" s="15" t="str">
        <f t="shared" si="21"/>
        <v>3Q2008</v>
      </c>
      <c r="F717" s="16">
        <f>+F716</f>
        <v>5.2999999999999999E-2</v>
      </c>
      <c r="H717" s="12">
        <v>39661</v>
      </c>
      <c r="I717" s="28">
        <f t="shared" si="19"/>
        <v>6.4775000000000013E-2</v>
      </c>
      <c r="J717" s="17" t="s">
        <v>100</v>
      </c>
    </row>
    <row r="718" spans="1:10">
      <c r="A718" s="9">
        <f t="shared" si="20"/>
        <v>39711</v>
      </c>
      <c r="B718" s="10">
        <v>39711</v>
      </c>
      <c r="C718" s="25">
        <v>0.05</v>
      </c>
      <c r="E718" s="15" t="str">
        <f t="shared" si="21"/>
        <v>3Q2008</v>
      </c>
      <c r="F718" s="16">
        <f>+F717</f>
        <v>5.2999999999999999E-2</v>
      </c>
      <c r="H718" s="12">
        <v>39692</v>
      </c>
      <c r="I718" s="28">
        <f t="shared" si="19"/>
        <v>6.206666666666668E-2</v>
      </c>
      <c r="J718" s="17" t="s">
        <v>101</v>
      </c>
    </row>
    <row r="719" spans="1:10">
      <c r="A719" s="9">
        <f t="shared" si="20"/>
        <v>39741</v>
      </c>
      <c r="B719" s="10">
        <v>39741</v>
      </c>
      <c r="C719" s="25">
        <f t="shared" ref="C719:C750" si="22">VALUE(RIGHT(J719,5))/100</f>
        <v>4.5599999999999995E-2</v>
      </c>
      <c r="E719" s="15" t="str">
        <f t="shared" si="21"/>
        <v>4Q2008</v>
      </c>
      <c r="F719" s="16">
        <f>IF(COUNTIF(C715:C717,"&gt;0")&lt;3,"N/A",AVERAGE(C715:C717))</f>
        <v>5.000000000000001E-2</v>
      </c>
      <c r="H719" s="12">
        <v>39722</v>
      </c>
      <c r="I719" s="28">
        <f t="shared" si="19"/>
        <v>5.954166666666668E-2</v>
      </c>
      <c r="J719" s="17" t="s">
        <v>102</v>
      </c>
    </row>
    <row r="720" spans="1:10">
      <c r="A720" s="18">
        <f t="shared" si="20"/>
        <v>39772</v>
      </c>
      <c r="B720" s="19">
        <v>39772</v>
      </c>
      <c r="C720" s="25">
        <f t="shared" si="22"/>
        <v>0.04</v>
      </c>
      <c r="E720" s="15" t="str">
        <f t="shared" si="21"/>
        <v>4Q2008</v>
      </c>
      <c r="F720" s="16">
        <f>+F719</f>
        <v>5.000000000000001E-2</v>
      </c>
      <c r="H720" s="12">
        <v>39753</v>
      </c>
      <c r="I720" s="28">
        <f t="shared" si="19"/>
        <v>5.6891666666666674E-2</v>
      </c>
      <c r="J720" s="17" t="s">
        <v>103</v>
      </c>
    </row>
    <row r="721" spans="1:18">
      <c r="A721" s="9">
        <f t="shared" si="20"/>
        <v>39802</v>
      </c>
      <c r="B721" s="10">
        <v>39802</v>
      </c>
      <c r="C721" s="25">
        <f t="shared" si="22"/>
        <v>3.61E-2</v>
      </c>
      <c r="E721" s="15" t="str">
        <f t="shared" si="21"/>
        <v>4Q2008</v>
      </c>
      <c r="F721" s="16">
        <f>+F720</f>
        <v>5.000000000000001E-2</v>
      </c>
      <c r="H721" s="12">
        <v>39783</v>
      </c>
      <c r="I721" s="28">
        <f t="shared" si="19"/>
        <v>5.3975000000000002E-2</v>
      </c>
      <c r="J721" s="17" t="s">
        <v>104</v>
      </c>
    </row>
    <row r="722" spans="1:18">
      <c r="A722" s="9">
        <f t="shared" si="20"/>
        <v>39833</v>
      </c>
      <c r="B722" s="10">
        <v>39833</v>
      </c>
      <c r="C722" s="25">
        <f t="shared" si="22"/>
        <v>3.2500000000000001E-2</v>
      </c>
      <c r="E722" s="15" t="str">
        <f t="shared" si="21"/>
        <v>1Q2009</v>
      </c>
      <c r="F722" s="16">
        <f>IF(COUNTIF(C718:C720,"&gt;0")&lt;3,"N/A",AVERAGE(C718:C720))</f>
        <v>4.5199999999999997E-2</v>
      </c>
      <c r="H722" s="12">
        <v>39814</v>
      </c>
      <c r="I722" s="28">
        <f t="shared" si="19"/>
        <v>5.0875000000000004E-2</v>
      </c>
      <c r="J722" s="17" t="s">
        <v>105</v>
      </c>
    </row>
    <row r="723" spans="1:18">
      <c r="A723" s="18">
        <f t="shared" si="20"/>
        <v>39864</v>
      </c>
      <c r="B723" s="19">
        <v>39864</v>
      </c>
      <c r="C723" s="25">
        <f t="shared" si="22"/>
        <v>3.2500000000000001E-2</v>
      </c>
      <c r="E723" s="15" t="str">
        <f t="shared" si="21"/>
        <v>1Q2009</v>
      </c>
      <c r="F723" s="16">
        <f>+F722</f>
        <v>4.5199999999999997E-2</v>
      </c>
      <c r="H723" s="12">
        <v>39845</v>
      </c>
      <c r="I723" s="28">
        <f t="shared" si="19"/>
        <v>4.7766666666666659E-2</v>
      </c>
      <c r="J723" s="17" t="s">
        <v>106</v>
      </c>
    </row>
    <row r="724" spans="1:18">
      <c r="A724" s="9">
        <f t="shared" si="20"/>
        <v>39892</v>
      </c>
      <c r="B724" s="10">
        <v>39892</v>
      </c>
      <c r="C724" s="25">
        <f t="shared" si="22"/>
        <v>3.2500000000000001E-2</v>
      </c>
      <c r="E724" s="15" t="str">
        <f t="shared" si="21"/>
        <v>1Q2009</v>
      </c>
      <c r="F724" s="16">
        <f>+F723</f>
        <v>4.5199999999999997E-2</v>
      </c>
      <c r="H724" s="12">
        <v>39873</v>
      </c>
      <c r="I724" s="28">
        <f t="shared" si="19"/>
        <v>4.5474999999999995E-2</v>
      </c>
      <c r="J724" s="17" t="s">
        <v>107</v>
      </c>
    </row>
    <row r="725" spans="1:18">
      <c r="A725" s="9">
        <f t="shared" si="20"/>
        <v>39923</v>
      </c>
      <c r="B725" s="10">
        <v>39923</v>
      </c>
      <c r="C725" s="25">
        <f t="shared" si="22"/>
        <v>3.2500000000000001E-2</v>
      </c>
      <c r="E725" s="15" t="str">
        <f t="shared" si="21"/>
        <v>2Q2009</v>
      </c>
      <c r="F725" s="16">
        <f>IF(COUNTIF(C721:C723,"&gt;0")&lt;3,"N/A",AVERAGE(C721:C723))</f>
        <v>3.3700000000000001E-2</v>
      </c>
      <c r="H725" s="12">
        <v>39904</v>
      </c>
      <c r="I725" s="28">
        <f t="shared" si="19"/>
        <v>4.346666666666666E-2</v>
      </c>
      <c r="J725" s="17" t="s">
        <v>108</v>
      </c>
    </row>
    <row r="726" spans="1:18">
      <c r="A726" s="18">
        <f t="shared" si="20"/>
        <v>39953</v>
      </c>
      <c r="B726" s="19">
        <v>39953</v>
      </c>
      <c r="C726" s="25">
        <f t="shared" si="22"/>
        <v>3.2500000000000001E-2</v>
      </c>
      <c r="E726" s="15" t="str">
        <f t="shared" si="21"/>
        <v>2Q2009</v>
      </c>
      <c r="F726" s="16">
        <f>+F725</f>
        <v>3.3700000000000001E-2</v>
      </c>
      <c r="H726" s="12">
        <v>39934</v>
      </c>
      <c r="I726" s="28">
        <f t="shared" si="19"/>
        <v>4.1808333333333329E-2</v>
      </c>
      <c r="J726" s="17" t="s">
        <v>109</v>
      </c>
    </row>
    <row r="727" spans="1:18">
      <c r="A727" s="9">
        <f t="shared" si="20"/>
        <v>39984</v>
      </c>
      <c r="B727" s="10">
        <v>39984</v>
      </c>
      <c r="C727" s="25">
        <f t="shared" si="22"/>
        <v>3.2500000000000001E-2</v>
      </c>
      <c r="E727" s="15" t="str">
        <f t="shared" si="21"/>
        <v>2Q2009</v>
      </c>
      <c r="F727" s="16">
        <f>+F726</f>
        <v>3.3700000000000001E-2</v>
      </c>
      <c r="H727" s="12">
        <v>39965</v>
      </c>
      <c r="I727" s="28">
        <f t="shared" si="19"/>
        <v>4.0349999999999997E-2</v>
      </c>
      <c r="J727" s="17" t="s">
        <v>110</v>
      </c>
    </row>
    <row r="728" spans="1:18">
      <c r="A728" s="9">
        <f t="shared" si="20"/>
        <v>40014</v>
      </c>
      <c r="B728" s="10">
        <v>40014</v>
      </c>
      <c r="C728" s="25">
        <f t="shared" si="22"/>
        <v>3.2500000000000001E-2</v>
      </c>
      <c r="E728" s="15" t="str">
        <f t="shared" si="21"/>
        <v>3Q2009</v>
      </c>
      <c r="F728" s="16">
        <f>IF(COUNTIF(C724:C726,"&gt;0")&lt;3,"N/A",AVERAGE(C724:C726))</f>
        <v>3.2500000000000001E-2</v>
      </c>
      <c r="H728" s="12">
        <v>39995</v>
      </c>
      <c r="I728" s="28">
        <f>AVERAGE(C716:C727)</f>
        <v>3.8891666666666658E-2</v>
      </c>
      <c r="J728" s="17" t="s">
        <v>111</v>
      </c>
    </row>
    <row r="729" spans="1:18">
      <c r="A729" s="18">
        <f t="shared" si="20"/>
        <v>40045</v>
      </c>
      <c r="B729" s="19">
        <v>40045</v>
      </c>
      <c r="C729" s="25">
        <f t="shared" si="22"/>
        <v>3.2500000000000001E-2</v>
      </c>
      <c r="E729" s="15" t="str">
        <f t="shared" si="21"/>
        <v>3Q2009</v>
      </c>
      <c r="F729" s="16">
        <f>+F728</f>
        <v>3.2500000000000001E-2</v>
      </c>
      <c r="H729" s="12">
        <v>40026</v>
      </c>
      <c r="I729" s="28">
        <f t="shared" ref="I729:I792" si="23">AVERAGE(C717:C728)</f>
        <v>3.7433333333333318E-2</v>
      </c>
      <c r="J729" s="17" t="s">
        <v>112</v>
      </c>
    </row>
    <row r="730" spans="1:18">
      <c r="A730" s="9">
        <f t="shared" si="20"/>
        <v>40076</v>
      </c>
      <c r="B730" s="10">
        <v>40076</v>
      </c>
      <c r="C730" s="25">
        <f t="shared" si="22"/>
        <v>3.2500000000000001E-2</v>
      </c>
      <c r="E730" s="15" t="str">
        <f t="shared" si="21"/>
        <v>3Q2009</v>
      </c>
      <c r="F730" s="16">
        <f>+F729</f>
        <v>3.2500000000000001E-2</v>
      </c>
      <c r="H730" s="12">
        <v>40057</v>
      </c>
      <c r="I730" s="28">
        <f t="shared" si="23"/>
        <v>3.5974999999999986E-2</v>
      </c>
      <c r="J730" s="17" t="s">
        <v>113</v>
      </c>
    </row>
    <row r="731" spans="1:18">
      <c r="A731" s="9">
        <f t="shared" si="20"/>
        <v>40106</v>
      </c>
      <c r="B731" s="10">
        <v>40106</v>
      </c>
      <c r="C731" s="25">
        <f t="shared" si="22"/>
        <v>3.2500000000000001E-2</v>
      </c>
      <c r="E731" s="15" t="str">
        <f t="shared" si="21"/>
        <v>4Q2009</v>
      </c>
      <c r="F731" s="16">
        <f>IF(COUNTIF(C727:C729,"&gt;0")&lt;3,"N/A",AVERAGE(C727:C729))</f>
        <v>3.2500000000000001E-2</v>
      </c>
      <c r="H731" s="12">
        <v>40087</v>
      </c>
      <c r="I731" s="28">
        <f t="shared" si="23"/>
        <v>3.4516666666666661E-2</v>
      </c>
      <c r="J731" s="17" t="s">
        <v>114</v>
      </c>
      <c r="L731" s="32" t="s">
        <v>115</v>
      </c>
      <c r="M731" s="33"/>
      <c r="N731" s="33"/>
      <c r="O731" s="33"/>
      <c r="P731" s="33"/>
      <c r="Q731" s="33"/>
    </row>
    <row r="732" spans="1:18">
      <c r="A732" s="18">
        <f t="shared" si="20"/>
        <v>40137</v>
      </c>
      <c r="B732" s="19">
        <v>40137</v>
      </c>
      <c r="C732" s="25">
        <f t="shared" si="22"/>
        <v>3.2500000000000001E-2</v>
      </c>
      <c r="E732" s="15" t="str">
        <f t="shared" si="21"/>
        <v>4Q2009</v>
      </c>
      <c r="F732" s="16">
        <f>+F731</f>
        <v>3.2500000000000001E-2</v>
      </c>
      <c r="H732" s="12">
        <v>40118</v>
      </c>
      <c r="I732" s="28">
        <f t="shared" si="23"/>
        <v>3.3424999999999989E-2</v>
      </c>
      <c r="J732" s="17" t="s">
        <v>116</v>
      </c>
      <c r="L732" s="33" t="s">
        <v>117</v>
      </c>
      <c r="M732" s="33"/>
      <c r="N732" s="33"/>
      <c r="O732" s="33"/>
      <c r="P732" s="33"/>
      <c r="Q732" s="33"/>
    </row>
    <row r="733" spans="1:18">
      <c r="A733" s="9">
        <f t="shared" si="20"/>
        <v>40167</v>
      </c>
      <c r="B733" s="10">
        <v>40167</v>
      </c>
      <c r="C733" s="25">
        <f t="shared" si="22"/>
        <v>3.2500000000000001E-2</v>
      </c>
      <c r="E733" s="15" t="str">
        <f t="shared" si="21"/>
        <v>4Q2009</v>
      </c>
      <c r="F733" s="16">
        <f>+F732</f>
        <v>3.2500000000000001E-2</v>
      </c>
      <c r="H733" s="12">
        <v>40148</v>
      </c>
      <c r="I733" s="28">
        <f t="shared" si="23"/>
        <v>3.2799999999999996E-2</v>
      </c>
      <c r="J733" s="17" t="s">
        <v>118</v>
      </c>
    </row>
    <row r="734" spans="1:18">
      <c r="A734" s="9">
        <f t="shared" si="20"/>
        <v>40198</v>
      </c>
      <c r="B734" s="10">
        <v>40198</v>
      </c>
      <c r="C734" s="25">
        <f t="shared" si="22"/>
        <v>3.2500000000000001E-2</v>
      </c>
      <c r="E734" s="15" t="str">
        <f t="shared" si="21"/>
        <v>1Q2010</v>
      </c>
      <c r="F734" s="16">
        <f>IF(COUNTIF(C730:C732,"&gt;0")&lt;3,"N/A",AVERAGE(C730:C732))</f>
        <v>3.2500000000000001E-2</v>
      </c>
      <c r="H734" s="12">
        <v>40179</v>
      </c>
      <c r="I734" s="28">
        <f t="shared" si="23"/>
        <v>3.2499999999999994E-2</v>
      </c>
      <c r="J734" s="17" t="s">
        <v>119</v>
      </c>
      <c r="L734" s="34" t="s">
        <v>120</v>
      </c>
      <c r="M734" s="35"/>
      <c r="N734" s="35"/>
      <c r="O734" s="35"/>
      <c r="P734" s="35"/>
      <c r="Q734" s="35"/>
      <c r="R734" s="35"/>
    </row>
    <row r="735" spans="1:18">
      <c r="A735" s="18">
        <f t="shared" si="20"/>
        <v>40229</v>
      </c>
      <c r="B735" s="19">
        <v>40229</v>
      </c>
      <c r="C735" s="25">
        <f t="shared" si="22"/>
        <v>3.2500000000000001E-2</v>
      </c>
      <c r="E735" s="15" t="str">
        <f t="shared" si="21"/>
        <v>1Q2010</v>
      </c>
      <c r="F735" s="16">
        <f>+F734</f>
        <v>3.2500000000000001E-2</v>
      </c>
      <c r="H735" s="12">
        <v>40210</v>
      </c>
      <c r="I735" s="28">
        <f t="shared" si="23"/>
        <v>3.2499999999999994E-2</v>
      </c>
      <c r="J735" s="17" t="s">
        <v>121</v>
      </c>
      <c r="L735" s="35" t="s">
        <v>122</v>
      </c>
      <c r="M735" s="35"/>
      <c r="N735" s="35"/>
      <c r="O735" s="35"/>
      <c r="P735" s="35"/>
      <c r="Q735" s="35"/>
      <c r="R735" s="35"/>
    </row>
    <row r="736" spans="1:18">
      <c r="A736" s="9">
        <f t="shared" si="20"/>
        <v>40257</v>
      </c>
      <c r="B736" s="10">
        <v>40257</v>
      </c>
      <c r="C736" s="25">
        <f t="shared" si="22"/>
        <v>3.2500000000000001E-2</v>
      </c>
      <c r="E736" s="15" t="str">
        <f t="shared" si="21"/>
        <v>1Q2010</v>
      </c>
      <c r="F736" s="16">
        <f>+F735</f>
        <v>3.2500000000000001E-2</v>
      </c>
      <c r="H736" s="12">
        <v>40238</v>
      </c>
      <c r="I736" s="28">
        <f t="shared" si="23"/>
        <v>3.2499999999999994E-2</v>
      </c>
      <c r="J736" s="17" t="s">
        <v>123</v>
      </c>
    </row>
    <row r="737" spans="1:12">
      <c r="A737" s="9">
        <f t="shared" si="20"/>
        <v>40288</v>
      </c>
      <c r="B737" s="10">
        <v>40288</v>
      </c>
      <c r="C737" s="25">
        <f t="shared" si="22"/>
        <v>3.2500000000000001E-2</v>
      </c>
      <c r="E737" s="15" t="str">
        <f t="shared" si="21"/>
        <v>2Q2010</v>
      </c>
      <c r="F737" s="16">
        <f>IF(COUNTIF(C733:C735,"&gt;0")&lt;3,"N/A",AVERAGE(C733:C735))</f>
        <v>3.2500000000000001E-2</v>
      </c>
      <c r="H737" s="12">
        <v>40269</v>
      </c>
      <c r="I737" s="28">
        <f t="shared" si="23"/>
        <v>3.2499999999999994E-2</v>
      </c>
      <c r="J737" s="17" t="s">
        <v>124</v>
      </c>
      <c r="L737" s="36" t="s">
        <v>125</v>
      </c>
    </row>
    <row r="738" spans="1:12">
      <c r="A738" s="18">
        <f t="shared" si="20"/>
        <v>40318</v>
      </c>
      <c r="B738" s="19">
        <v>40318</v>
      </c>
      <c r="C738" s="25">
        <f t="shared" si="22"/>
        <v>3.2500000000000001E-2</v>
      </c>
      <c r="E738" s="15" t="str">
        <f t="shared" si="21"/>
        <v>2Q2010</v>
      </c>
      <c r="F738" s="16">
        <f>+F737</f>
        <v>3.2500000000000001E-2</v>
      </c>
      <c r="H738" s="12">
        <v>40299</v>
      </c>
      <c r="I738" s="28">
        <f t="shared" si="23"/>
        <v>3.2499999999999994E-2</v>
      </c>
      <c r="J738" s="17" t="s">
        <v>126</v>
      </c>
      <c r="L738" s="37" t="s">
        <v>127</v>
      </c>
    </row>
    <row r="739" spans="1:12">
      <c r="A739" s="9">
        <f t="shared" si="20"/>
        <v>40349</v>
      </c>
      <c r="B739" s="10">
        <v>40349</v>
      </c>
      <c r="C739" s="25">
        <f t="shared" si="22"/>
        <v>3.2500000000000001E-2</v>
      </c>
      <c r="E739" s="15" t="str">
        <f t="shared" si="21"/>
        <v>2Q2010</v>
      </c>
      <c r="F739" s="16">
        <f>+F738</f>
        <v>3.2500000000000001E-2</v>
      </c>
      <c r="H739" s="12">
        <v>40330</v>
      </c>
      <c r="I739" s="28">
        <f t="shared" si="23"/>
        <v>3.2499999999999994E-2</v>
      </c>
      <c r="J739" s="17" t="s">
        <v>128</v>
      </c>
      <c r="L739" s="37" t="s">
        <v>129</v>
      </c>
    </row>
    <row r="740" spans="1:12">
      <c r="A740" s="9">
        <f t="shared" si="20"/>
        <v>40379</v>
      </c>
      <c r="B740" s="10">
        <v>40379</v>
      </c>
      <c r="C740" s="25">
        <f t="shared" si="22"/>
        <v>3.2500000000000001E-2</v>
      </c>
      <c r="E740" s="15" t="str">
        <f t="shared" si="21"/>
        <v>3Q2010</v>
      </c>
      <c r="F740" s="16">
        <f>IF(COUNTIF(C736:C738,"&gt;0")&lt;3,"N/A",AVERAGE(C736:C738))</f>
        <v>3.2500000000000001E-2</v>
      </c>
      <c r="H740" s="12">
        <v>40360</v>
      </c>
      <c r="I740" s="28">
        <f t="shared" si="23"/>
        <v>3.2499999999999994E-2</v>
      </c>
      <c r="J740" s="17" t="s">
        <v>130</v>
      </c>
    </row>
    <row r="741" spans="1:12">
      <c r="A741" s="18">
        <f t="shared" si="20"/>
        <v>40410</v>
      </c>
      <c r="B741" s="19">
        <v>40410</v>
      </c>
      <c r="C741" s="25">
        <f t="shared" si="22"/>
        <v>3.2500000000000001E-2</v>
      </c>
      <c r="E741" s="15" t="str">
        <f t="shared" si="21"/>
        <v>3Q2010</v>
      </c>
      <c r="F741" s="16">
        <f>+F740</f>
        <v>3.2500000000000001E-2</v>
      </c>
      <c r="H741" s="12">
        <v>40391</v>
      </c>
      <c r="I741" s="28">
        <f t="shared" si="23"/>
        <v>3.2499999999999994E-2</v>
      </c>
      <c r="J741" s="17" t="s">
        <v>131</v>
      </c>
    </row>
    <row r="742" spans="1:12">
      <c r="A742" s="9">
        <f t="shared" si="20"/>
        <v>40441</v>
      </c>
      <c r="B742" s="10">
        <v>40441</v>
      </c>
      <c r="C742" s="25">
        <f t="shared" si="22"/>
        <v>3.2500000000000001E-2</v>
      </c>
      <c r="E742" s="15" t="str">
        <f t="shared" si="21"/>
        <v>3Q2010</v>
      </c>
      <c r="F742" s="16">
        <f>+F741</f>
        <v>3.2500000000000001E-2</v>
      </c>
      <c r="H742" s="12">
        <v>40422</v>
      </c>
      <c r="I742" s="28">
        <f t="shared" si="23"/>
        <v>3.2499999999999994E-2</v>
      </c>
      <c r="J742" s="17" t="s">
        <v>132</v>
      </c>
    </row>
    <row r="743" spans="1:12">
      <c r="A743" s="9">
        <f t="shared" si="20"/>
        <v>40471</v>
      </c>
      <c r="B743" s="10">
        <v>40471</v>
      </c>
      <c r="C743" s="25">
        <f t="shared" si="22"/>
        <v>3.2500000000000001E-2</v>
      </c>
      <c r="E743" s="15" t="str">
        <f t="shared" si="21"/>
        <v>4Q2010</v>
      </c>
      <c r="F743" s="16">
        <f>IF(COUNTIF(C739:C741,"&gt;0")&lt;3,"N/A",AVERAGE(C739:C741))</f>
        <v>3.2500000000000001E-2</v>
      </c>
      <c r="H743" s="12">
        <v>40452</v>
      </c>
      <c r="I743" s="28">
        <f t="shared" si="23"/>
        <v>3.2499999999999994E-2</v>
      </c>
      <c r="J743" s="17" t="s">
        <v>133</v>
      </c>
    </row>
    <row r="744" spans="1:12">
      <c r="A744" s="18">
        <f t="shared" si="20"/>
        <v>40502</v>
      </c>
      <c r="B744" s="19">
        <v>40502</v>
      </c>
      <c r="C744" s="25">
        <f t="shared" si="22"/>
        <v>3.2500000000000001E-2</v>
      </c>
      <c r="E744" s="15" t="str">
        <f t="shared" si="21"/>
        <v>4Q2010</v>
      </c>
      <c r="F744" s="16">
        <f>+F743</f>
        <v>3.2500000000000001E-2</v>
      </c>
      <c r="H744" s="12">
        <v>40483</v>
      </c>
      <c r="I744" s="28">
        <f t="shared" si="23"/>
        <v>3.2499999999999994E-2</v>
      </c>
      <c r="J744" s="17" t="s">
        <v>134</v>
      </c>
      <c r="L744" s="6" t="s">
        <v>135</v>
      </c>
    </row>
    <row r="745" spans="1:12">
      <c r="A745" s="9">
        <f t="shared" si="20"/>
        <v>40532</v>
      </c>
      <c r="B745" s="10">
        <v>40532</v>
      </c>
      <c r="C745" s="25">
        <f t="shared" si="22"/>
        <v>3.2500000000000001E-2</v>
      </c>
      <c r="E745" s="15" t="str">
        <f t="shared" si="21"/>
        <v>4Q2010</v>
      </c>
      <c r="F745" s="16">
        <f>+F744</f>
        <v>3.2500000000000001E-2</v>
      </c>
      <c r="H745" s="12">
        <v>40513</v>
      </c>
      <c r="I745" s="28">
        <f t="shared" si="23"/>
        <v>3.2499999999999994E-2</v>
      </c>
      <c r="J745" s="17" t="s">
        <v>136</v>
      </c>
      <c r="L745" s="14" t="s">
        <v>137</v>
      </c>
    </row>
    <row r="746" spans="1:12">
      <c r="A746" s="9">
        <f t="shared" si="20"/>
        <v>40563</v>
      </c>
      <c r="B746" s="10">
        <v>40563</v>
      </c>
      <c r="C746" s="25">
        <f t="shared" si="22"/>
        <v>3.2500000000000001E-2</v>
      </c>
      <c r="E746" s="15" t="str">
        <f t="shared" si="21"/>
        <v>1Q2011</v>
      </c>
      <c r="F746" s="16">
        <f>IF(COUNTIF(C742:C744,"&gt;0")&lt;3,"N/A",AVERAGE(C742:C744))</f>
        <v>3.2500000000000001E-2</v>
      </c>
      <c r="H746" s="12">
        <v>40544</v>
      </c>
      <c r="I746" s="28">
        <f t="shared" si="23"/>
        <v>3.2499999999999994E-2</v>
      </c>
      <c r="J746" s="17" t="s">
        <v>138</v>
      </c>
    </row>
    <row r="747" spans="1:12">
      <c r="A747" s="18">
        <f t="shared" si="20"/>
        <v>40594</v>
      </c>
      <c r="B747" s="19">
        <v>40594</v>
      </c>
      <c r="C747" s="25">
        <f t="shared" si="22"/>
        <v>3.2500000000000001E-2</v>
      </c>
      <c r="E747" s="15" t="str">
        <f t="shared" si="21"/>
        <v>1Q2011</v>
      </c>
      <c r="F747" s="16">
        <f>+F746</f>
        <v>3.2500000000000001E-2</v>
      </c>
      <c r="H747" s="12">
        <v>40575</v>
      </c>
      <c r="I747" s="28">
        <f t="shared" si="23"/>
        <v>3.2499999999999994E-2</v>
      </c>
      <c r="J747" s="38" t="s">
        <v>139</v>
      </c>
    </row>
    <row r="748" spans="1:12">
      <c r="A748" s="9">
        <f t="shared" si="20"/>
        <v>40622</v>
      </c>
      <c r="B748" s="10">
        <v>40622</v>
      </c>
      <c r="C748" s="39">
        <f t="shared" si="22"/>
        <v>3.2500000000000001E-2</v>
      </c>
      <c r="D748" s="21"/>
      <c r="E748" s="15" t="str">
        <f t="shared" si="21"/>
        <v>1Q2011</v>
      </c>
      <c r="F748" s="16">
        <f>+F747</f>
        <v>3.2500000000000001E-2</v>
      </c>
      <c r="H748" s="12">
        <v>40603</v>
      </c>
      <c r="I748" s="28">
        <f t="shared" si="23"/>
        <v>3.2499999999999994E-2</v>
      </c>
      <c r="J748" s="38" t="s">
        <v>140</v>
      </c>
    </row>
    <row r="749" spans="1:12">
      <c r="A749" s="9">
        <f t="shared" si="20"/>
        <v>40653</v>
      </c>
      <c r="B749" s="10">
        <v>40653</v>
      </c>
      <c r="C749" s="39">
        <f t="shared" si="22"/>
        <v>3.2500000000000001E-2</v>
      </c>
      <c r="D749" s="21"/>
      <c r="E749" s="15" t="str">
        <f t="shared" si="21"/>
        <v>2Q2011</v>
      </c>
      <c r="F749" s="16">
        <f>IF(COUNTIF(C745:C747,"&gt;0")&lt;3,"N/A",AVERAGE(C745:C747))</f>
        <v>3.2500000000000001E-2</v>
      </c>
      <c r="H749" s="12">
        <v>40634</v>
      </c>
      <c r="I749" s="28">
        <f t="shared" si="23"/>
        <v>3.2499999999999994E-2</v>
      </c>
      <c r="J749" s="38" t="s">
        <v>141</v>
      </c>
    </row>
    <row r="750" spans="1:12">
      <c r="A750" s="18">
        <f t="shared" si="20"/>
        <v>40683</v>
      </c>
      <c r="B750" s="19">
        <v>40683</v>
      </c>
      <c r="C750" s="39">
        <f t="shared" si="22"/>
        <v>3.2500000000000001E-2</v>
      </c>
      <c r="D750" s="21"/>
      <c r="E750" s="15" t="str">
        <f t="shared" si="21"/>
        <v>2Q2011</v>
      </c>
      <c r="F750" s="16">
        <f>+F749</f>
        <v>3.2500000000000001E-2</v>
      </c>
      <c r="H750" s="12">
        <v>40664</v>
      </c>
      <c r="I750" s="28">
        <f t="shared" si="23"/>
        <v>3.2499999999999994E-2</v>
      </c>
      <c r="J750" s="38" t="s">
        <v>142</v>
      </c>
    </row>
    <row r="751" spans="1:12">
      <c r="A751" s="9">
        <f t="shared" si="20"/>
        <v>40714</v>
      </c>
      <c r="B751" s="10">
        <v>40714</v>
      </c>
      <c r="C751" s="29">
        <f t="shared" ref="C751:C804" si="24">+C750</f>
        <v>3.2500000000000001E-2</v>
      </c>
      <c r="E751" s="15" t="str">
        <f t="shared" si="21"/>
        <v>2Q2011</v>
      </c>
      <c r="F751" s="16">
        <f>+F750</f>
        <v>3.2500000000000001E-2</v>
      </c>
      <c r="H751" s="12">
        <v>40695</v>
      </c>
      <c r="I751" s="28">
        <f t="shared" si="23"/>
        <v>3.2499999999999994E-2</v>
      </c>
      <c r="J751" s="38" t="s">
        <v>143</v>
      </c>
    </row>
    <row r="752" spans="1:12">
      <c r="A752" s="9">
        <f t="shared" si="20"/>
        <v>40744</v>
      </c>
      <c r="B752" s="10">
        <v>40744</v>
      </c>
      <c r="C752" s="29">
        <f t="shared" si="24"/>
        <v>3.2500000000000001E-2</v>
      </c>
      <c r="E752" s="15" t="str">
        <f t="shared" si="21"/>
        <v>3Q2011</v>
      </c>
      <c r="F752" s="16">
        <f>IF(COUNTIF(C748:C750,"&gt;0")&lt;3,"N/A",AVERAGE(C748:C750))</f>
        <v>3.2500000000000001E-2</v>
      </c>
      <c r="H752" s="12">
        <v>40725</v>
      </c>
      <c r="I752" s="28">
        <f t="shared" si="23"/>
        <v>3.2499999999999994E-2</v>
      </c>
      <c r="J752" s="38" t="s">
        <v>144</v>
      </c>
    </row>
    <row r="753" spans="1:10">
      <c r="A753" s="18">
        <f t="shared" si="20"/>
        <v>40775</v>
      </c>
      <c r="B753" s="19">
        <v>40775</v>
      </c>
      <c r="C753" s="29">
        <f t="shared" si="24"/>
        <v>3.2500000000000001E-2</v>
      </c>
      <c r="E753" s="15" t="str">
        <f t="shared" si="21"/>
        <v>3Q2011</v>
      </c>
      <c r="F753" s="16">
        <f>+F752</f>
        <v>3.2500000000000001E-2</v>
      </c>
      <c r="H753" s="12">
        <v>40756</v>
      </c>
      <c r="I753" s="28">
        <f t="shared" si="23"/>
        <v>3.2499999999999994E-2</v>
      </c>
      <c r="J753" s="38" t="s">
        <v>145</v>
      </c>
    </row>
    <row r="754" spans="1:10">
      <c r="A754" s="9">
        <f t="shared" si="20"/>
        <v>40806</v>
      </c>
      <c r="B754" s="10">
        <v>40806</v>
      </c>
      <c r="C754" s="29">
        <f t="shared" si="24"/>
        <v>3.2500000000000001E-2</v>
      </c>
      <c r="E754" s="15" t="str">
        <f t="shared" si="21"/>
        <v>3Q2011</v>
      </c>
      <c r="F754" s="16">
        <f>+F753</f>
        <v>3.2500000000000001E-2</v>
      </c>
      <c r="H754" s="12">
        <v>40787</v>
      </c>
      <c r="I754" s="28">
        <f t="shared" si="23"/>
        <v>3.2499999999999994E-2</v>
      </c>
      <c r="J754" s="38" t="s">
        <v>146</v>
      </c>
    </row>
    <row r="755" spans="1:10">
      <c r="A755" s="9">
        <f t="shared" si="20"/>
        <v>40836</v>
      </c>
      <c r="B755" s="10">
        <v>40836</v>
      </c>
      <c r="C755" s="29">
        <f t="shared" si="24"/>
        <v>3.2500000000000001E-2</v>
      </c>
      <c r="E755" s="15" t="str">
        <f t="shared" si="21"/>
        <v>4Q2011</v>
      </c>
      <c r="F755" s="16">
        <f>IF(COUNTIF(C751:C753,"&gt;0")&lt;3,"N/A",AVERAGE(C751:C753))</f>
        <v>3.2500000000000001E-2</v>
      </c>
      <c r="H755" s="12">
        <v>40817</v>
      </c>
      <c r="I755" s="28">
        <f t="shared" si="23"/>
        <v>3.2499999999999994E-2</v>
      </c>
      <c r="J755" s="38" t="s">
        <v>147</v>
      </c>
    </row>
    <row r="756" spans="1:10">
      <c r="A756" s="18">
        <f t="shared" si="20"/>
        <v>40867</v>
      </c>
      <c r="B756" s="19">
        <v>40867</v>
      </c>
      <c r="C756" s="29">
        <f t="shared" si="24"/>
        <v>3.2500000000000001E-2</v>
      </c>
      <c r="E756" s="15" t="str">
        <f t="shared" si="21"/>
        <v>4Q2011</v>
      </c>
      <c r="F756" s="16">
        <f>+F755</f>
        <v>3.2500000000000001E-2</v>
      </c>
      <c r="H756" s="12">
        <v>40848</v>
      </c>
      <c r="I756" s="28">
        <f t="shared" si="23"/>
        <v>3.2499999999999994E-2</v>
      </c>
      <c r="J756" s="38" t="s">
        <v>148</v>
      </c>
    </row>
    <row r="757" spans="1:10">
      <c r="A757" s="9">
        <f t="shared" si="20"/>
        <v>40897</v>
      </c>
      <c r="B757" s="10">
        <v>40897</v>
      </c>
      <c r="C757" s="29">
        <f t="shared" si="24"/>
        <v>3.2500000000000001E-2</v>
      </c>
      <c r="E757" s="15" t="str">
        <f t="shared" si="21"/>
        <v>4Q2011</v>
      </c>
      <c r="F757" s="16">
        <f>+F756</f>
        <v>3.2500000000000001E-2</v>
      </c>
      <c r="H757" s="12">
        <v>40878</v>
      </c>
      <c r="I757" s="28">
        <f t="shared" si="23"/>
        <v>3.2499999999999994E-2</v>
      </c>
      <c r="J757" s="38" t="s">
        <v>149</v>
      </c>
    </row>
    <row r="758" spans="1:10">
      <c r="A758" s="9">
        <f t="shared" si="20"/>
        <v>40928</v>
      </c>
      <c r="B758" s="10">
        <v>40928</v>
      </c>
      <c r="C758" s="29">
        <f t="shared" si="24"/>
        <v>3.2500000000000001E-2</v>
      </c>
      <c r="E758" s="15" t="str">
        <f t="shared" si="21"/>
        <v>1Q2012</v>
      </c>
      <c r="F758" s="16">
        <f>IF(COUNTIF(C754:C756,"&gt;0")&lt;3,"N/A",AVERAGE(C754:C756))</f>
        <v>3.2500000000000001E-2</v>
      </c>
      <c r="H758" s="12">
        <v>40909</v>
      </c>
      <c r="I758" s="28">
        <f t="shared" si="23"/>
        <v>3.2499999999999994E-2</v>
      </c>
      <c r="J758" s="38" t="s">
        <v>150</v>
      </c>
    </row>
    <row r="759" spans="1:10">
      <c r="A759" s="18">
        <f t="shared" si="20"/>
        <v>40959</v>
      </c>
      <c r="B759" s="19">
        <v>40959</v>
      </c>
      <c r="C759" s="29">
        <f t="shared" si="24"/>
        <v>3.2500000000000001E-2</v>
      </c>
      <c r="E759" s="15" t="str">
        <f t="shared" si="21"/>
        <v>1Q2012</v>
      </c>
      <c r="F759" s="16">
        <f>+F758</f>
        <v>3.2500000000000001E-2</v>
      </c>
      <c r="H759" s="12">
        <v>40940</v>
      </c>
      <c r="I759" s="28">
        <f t="shared" si="23"/>
        <v>3.2499999999999994E-2</v>
      </c>
      <c r="J759" s="38" t="s">
        <v>151</v>
      </c>
    </row>
    <row r="760" spans="1:10">
      <c r="A760" s="9">
        <f t="shared" si="20"/>
        <v>40988</v>
      </c>
      <c r="B760" s="10">
        <v>40988</v>
      </c>
      <c r="C760" s="29">
        <f t="shared" si="24"/>
        <v>3.2500000000000001E-2</v>
      </c>
      <c r="E760" s="15" t="str">
        <f t="shared" si="21"/>
        <v>1Q2012</v>
      </c>
      <c r="F760" s="16">
        <f>+F759</f>
        <v>3.2500000000000001E-2</v>
      </c>
      <c r="H760" s="12">
        <v>40969</v>
      </c>
      <c r="I760" s="28">
        <f t="shared" si="23"/>
        <v>3.2499999999999994E-2</v>
      </c>
      <c r="J760" s="38" t="s">
        <v>152</v>
      </c>
    </row>
    <row r="761" spans="1:10">
      <c r="A761" s="9">
        <f t="shared" si="20"/>
        <v>41019</v>
      </c>
      <c r="B761" s="10">
        <v>41019</v>
      </c>
      <c r="C761" s="29">
        <f t="shared" si="24"/>
        <v>3.2500000000000001E-2</v>
      </c>
      <c r="E761" s="15" t="str">
        <f t="shared" si="21"/>
        <v>2Q2012</v>
      </c>
      <c r="F761" s="16">
        <f>IF(COUNTIF(C757:C759,"&gt;0")&lt;3,"N/A",AVERAGE(C757:C759))</f>
        <v>3.2500000000000001E-2</v>
      </c>
      <c r="H761" s="12">
        <v>41000</v>
      </c>
      <c r="I761" s="28">
        <f t="shared" si="23"/>
        <v>3.2499999999999994E-2</v>
      </c>
      <c r="J761" s="38" t="s">
        <v>153</v>
      </c>
    </row>
    <row r="762" spans="1:10">
      <c r="A762" s="18">
        <f t="shared" si="20"/>
        <v>41049</v>
      </c>
      <c r="B762" s="19">
        <v>41049</v>
      </c>
      <c r="C762" s="29">
        <f t="shared" si="24"/>
        <v>3.2500000000000001E-2</v>
      </c>
      <c r="E762" s="15" t="str">
        <f t="shared" si="21"/>
        <v>2Q2012</v>
      </c>
      <c r="F762" s="16">
        <f>+F761</f>
        <v>3.2500000000000001E-2</v>
      </c>
      <c r="H762" s="12">
        <v>41030</v>
      </c>
      <c r="I762" s="28">
        <f t="shared" si="23"/>
        <v>3.2499999999999994E-2</v>
      </c>
      <c r="J762" s="38" t="s">
        <v>154</v>
      </c>
    </row>
    <row r="763" spans="1:10">
      <c r="A763" s="9">
        <f t="shared" si="20"/>
        <v>41080</v>
      </c>
      <c r="B763" s="10">
        <v>41080</v>
      </c>
      <c r="C763" s="29">
        <f t="shared" si="24"/>
        <v>3.2500000000000001E-2</v>
      </c>
      <c r="E763" s="15" t="str">
        <f t="shared" si="21"/>
        <v>2Q2012</v>
      </c>
      <c r="F763" s="16">
        <f>+F762</f>
        <v>3.2500000000000001E-2</v>
      </c>
      <c r="H763" s="12">
        <v>41061</v>
      </c>
      <c r="I763" s="28">
        <f t="shared" si="23"/>
        <v>3.2499999999999994E-2</v>
      </c>
      <c r="J763" s="38" t="s">
        <v>155</v>
      </c>
    </row>
    <row r="764" spans="1:10">
      <c r="A764" s="9">
        <f t="shared" si="20"/>
        <v>41110</v>
      </c>
      <c r="B764" s="10">
        <v>41110</v>
      </c>
      <c r="C764" s="29">
        <f t="shared" si="24"/>
        <v>3.2500000000000001E-2</v>
      </c>
      <c r="E764" s="15" t="str">
        <f t="shared" si="21"/>
        <v>3Q2012</v>
      </c>
      <c r="F764" s="16">
        <f>IF(COUNTIF(C760:C762,"&gt;0")&lt;3,"N/A",AVERAGE(C760:C762))</f>
        <v>3.2500000000000001E-2</v>
      </c>
      <c r="H764" s="12">
        <v>41091</v>
      </c>
      <c r="I764" s="28">
        <f t="shared" si="23"/>
        <v>3.2499999999999994E-2</v>
      </c>
      <c r="J764" s="38" t="s">
        <v>156</v>
      </c>
    </row>
    <row r="765" spans="1:10">
      <c r="A765" s="18">
        <f t="shared" si="20"/>
        <v>41141</v>
      </c>
      <c r="B765" s="19">
        <v>41141</v>
      </c>
      <c r="C765" s="29">
        <f t="shared" si="24"/>
        <v>3.2500000000000001E-2</v>
      </c>
      <c r="E765" s="15" t="str">
        <f t="shared" si="21"/>
        <v>3Q2012</v>
      </c>
      <c r="F765" s="16">
        <f>+F764</f>
        <v>3.2500000000000001E-2</v>
      </c>
      <c r="H765" s="12">
        <v>41122</v>
      </c>
      <c r="I765" s="28">
        <f t="shared" si="23"/>
        <v>3.2499999999999994E-2</v>
      </c>
      <c r="J765" s="38" t="s">
        <v>157</v>
      </c>
    </row>
    <row r="766" spans="1:10">
      <c r="A766" s="9">
        <f t="shared" si="20"/>
        <v>41172</v>
      </c>
      <c r="B766" s="10">
        <v>41172</v>
      </c>
      <c r="C766" s="29">
        <f t="shared" si="24"/>
        <v>3.2500000000000001E-2</v>
      </c>
      <c r="E766" s="15" t="str">
        <f t="shared" si="21"/>
        <v>3Q2012</v>
      </c>
      <c r="F766" s="16">
        <f>+F765</f>
        <v>3.2500000000000001E-2</v>
      </c>
      <c r="H766" s="12">
        <v>41153</v>
      </c>
      <c r="I766" s="28">
        <f t="shared" si="23"/>
        <v>3.2499999999999994E-2</v>
      </c>
      <c r="J766" s="38" t="s">
        <v>158</v>
      </c>
    </row>
    <row r="767" spans="1:10">
      <c r="A767" s="9">
        <f t="shared" si="20"/>
        <v>41202</v>
      </c>
      <c r="B767" s="10">
        <v>41202</v>
      </c>
      <c r="C767" s="29">
        <f t="shared" si="24"/>
        <v>3.2500000000000001E-2</v>
      </c>
      <c r="E767" s="15" t="str">
        <f t="shared" si="21"/>
        <v>4Q2012</v>
      </c>
      <c r="F767" s="16">
        <f>IF(COUNTIF(C763:C765,"&gt;0")&lt;3,"N/A",AVERAGE(C763:C765))</f>
        <v>3.2500000000000001E-2</v>
      </c>
      <c r="H767" s="12">
        <v>41183</v>
      </c>
      <c r="I767" s="28">
        <f t="shared" si="23"/>
        <v>3.2499999999999994E-2</v>
      </c>
      <c r="J767" s="38" t="s">
        <v>159</v>
      </c>
    </row>
    <row r="768" spans="1:10">
      <c r="A768" s="18">
        <f t="shared" si="20"/>
        <v>41233</v>
      </c>
      <c r="B768" s="19">
        <v>41233</v>
      </c>
      <c r="C768" s="29">
        <f t="shared" si="24"/>
        <v>3.2500000000000001E-2</v>
      </c>
      <c r="E768" s="15" t="str">
        <f t="shared" si="21"/>
        <v>4Q2012</v>
      </c>
      <c r="F768" s="16">
        <f>+F767</f>
        <v>3.2500000000000001E-2</v>
      </c>
      <c r="H768" s="12">
        <v>41214</v>
      </c>
      <c r="I768" s="28">
        <f t="shared" si="23"/>
        <v>3.2499999999999994E-2</v>
      </c>
      <c r="J768" s="38" t="s">
        <v>160</v>
      </c>
    </row>
    <row r="769" spans="1:10">
      <c r="A769" s="9">
        <f t="shared" si="20"/>
        <v>41263</v>
      </c>
      <c r="B769" s="10">
        <v>41263</v>
      </c>
      <c r="C769" s="29">
        <f t="shared" si="24"/>
        <v>3.2500000000000001E-2</v>
      </c>
      <c r="E769" s="15" t="str">
        <f t="shared" si="21"/>
        <v>4Q2012</v>
      </c>
      <c r="F769" s="16">
        <f>+F768</f>
        <v>3.2500000000000001E-2</v>
      </c>
      <c r="H769" s="12">
        <v>41244</v>
      </c>
      <c r="I769" s="28">
        <f t="shared" si="23"/>
        <v>3.2499999999999994E-2</v>
      </c>
      <c r="J769" s="38" t="s">
        <v>161</v>
      </c>
    </row>
    <row r="770" spans="1:10">
      <c r="A770" s="9">
        <f t="shared" si="20"/>
        <v>41294</v>
      </c>
      <c r="B770" s="10">
        <v>41294</v>
      </c>
      <c r="C770" s="29">
        <f t="shared" si="24"/>
        <v>3.2500000000000001E-2</v>
      </c>
      <c r="E770" s="15" t="str">
        <f t="shared" si="21"/>
        <v>1Q2013</v>
      </c>
      <c r="F770" s="16">
        <f>IF(COUNTIF(C766:C768,"&gt;0")&lt;3,"N/A",AVERAGE(C766:C768))</f>
        <v>3.2500000000000001E-2</v>
      </c>
      <c r="H770" s="12">
        <v>41275</v>
      </c>
      <c r="I770" s="28">
        <f t="shared" si="23"/>
        <v>3.2499999999999994E-2</v>
      </c>
      <c r="J770" s="38" t="s">
        <v>162</v>
      </c>
    </row>
    <row r="771" spans="1:10">
      <c r="A771" s="18">
        <f t="shared" si="20"/>
        <v>41325</v>
      </c>
      <c r="B771" s="19">
        <v>41325</v>
      </c>
      <c r="C771" s="29">
        <f t="shared" si="24"/>
        <v>3.2500000000000001E-2</v>
      </c>
      <c r="E771" s="15" t="str">
        <f t="shared" si="21"/>
        <v>1Q2013</v>
      </c>
      <c r="F771" s="16">
        <f>+F770</f>
        <v>3.2500000000000001E-2</v>
      </c>
      <c r="H771" s="12">
        <v>41306</v>
      </c>
      <c r="I771" s="28">
        <f t="shared" si="23"/>
        <v>3.2499999999999994E-2</v>
      </c>
      <c r="J771" s="38" t="s">
        <v>163</v>
      </c>
    </row>
    <row r="772" spans="1:10">
      <c r="A772" s="9">
        <f t="shared" si="20"/>
        <v>41353</v>
      </c>
      <c r="B772" s="10">
        <v>41353</v>
      </c>
      <c r="C772" s="29">
        <f t="shared" si="24"/>
        <v>3.2500000000000001E-2</v>
      </c>
      <c r="E772" s="15" t="str">
        <f t="shared" si="21"/>
        <v>1Q2013</v>
      </c>
      <c r="F772" s="16">
        <f>+F771</f>
        <v>3.2500000000000001E-2</v>
      </c>
      <c r="H772" s="12">
        <v>41334</v>
      </c>
      <c r="I772" s="28">
        <f t="shared" si="23"/>
        <v>3.2499999999999994E-2</v>
      </c>
      <c r="J772" s="38" t="s">
        <v>164</v>
      </c>
    </row>
    <row r="773" spans="1:10">
      <c r="A773" s="9">
        <f t="shared" ref="A773:A836" si="25">+B773</f>
        <v>41384</v>
      </c>
      <c r="B773" s="10">
        <v>41384</v>
      </c>
      <c r="C773" s="29">
        <f t="shared" si="24"/>
        <v>3.2500000000000001E-2</v>
      </c>
      <c r="E773" s="15" t="str">
        <f t="shared" si="21"/>
        <v>2Q2013</v>
      </c>
      <c r="F773" s="16">
        <f>IF(COUNTIF(C769:C771,"&gt;0")&lt;3,"N/A",AVERAGE(C769:C771))</f>
        <v>3.2500000000000001E-2</v>
      </c>
      <c r="H773" s="12">
        <v>41365</v>
      </c>
      <c r="I773" s="28">
        <f t="shared" si="23"/>
        <v>3.2499999999999994E-2</v>
      </c>
      <c r="J773" s="38" t="s">
        <v>165</v>
      </c>
    </row>
    <row r="774" spans="1:10">
      <c r="A774" s="18">
        <f t="shared" si="25"/>
        <v>41414</v>
      </c>
      <c r="B774" s="19">
        <v>41414</v>
      </c>
      <c r="C774" s="29">
        <f t="shared" si="24"/>
        <v>3.2500000000000001E-2</v>
      </c>
      <c r="E774" s="15" t="str">
        <f t="shared" si="21"/>
        <v>2Q2013</v>
      </c>
      <c r="F774" s="16">
        <f>+F773</f>
        <v>3.2500000000000001E-2</v>
      </c>
      <c r="H774" s="12">
        <v>41395</v>
      </c>
      <c r="I774" s="28">
        <f t="shared" si="23"/>
        <v>3.2499999999999994E-2</v>
      </c>
      <c r="J774" s="38" t="s">
        <v>166</v>
      </c>
    </row>
    <row r="775" spans="1:10">
      <c r="A775" s="9">
        <f t="shared" si="25"/>
        <v>41445</v>
      </c>
      <c r="B775" s="10">
        <v>41445</v>
      </c>
      <c r="C775" s="29">
        <f t="shared" si="24"/>
        <v>3.2500000000000001E-2</v>
      </c>
      <c r="E775" s="15" t="str">
        <f t="shared" si="21"/>
        <v>2Q2013</v>
      </c>
      <c r="F775" s="16">
        <f>+F774</f>
        <v>3.2500000000000001E-2</v>
      </c>
      <c r="H775" s="12">
        <v>41426</v>
      </c>
      <c r="I775" s="28">
        <f t="shared" si="23"/>
        <v>3.2499999999999994E-2</v>
      </c>
      <c r="J775" s="38" t="s">
        <v>167</v>
      </c>
    </row>
    <row r="776" spans="1:10">
      <c r="A776" s="9">
        <f t="shared" si="25"/>
        <v>41475</v>
      </c>
      <c r="B776" s="10">
        <v>41475</v>
      </c>
      <c r="C776" s="29">
        <f t="shared" si="24"/>
        <v>3.2500000000000001E-2</v>
      </c>
      <c r="E776" s="15" t="str">
        <f t="shared" si="21"/>
        <v>3Q2013</v>
      </c>
      <c r="F776" s="16">
        <f>IF(COUNTIF(C772:C774,"&gt;0")&lt;3,"N/A",AVERAGE(C772:C774))</f>
        <v>3.2500000000000001E-2</v>
      </c>
      <c r="H776" s="12">
        <v>41456</v>
      </c>
      <c r="I776" s="28">
        <f t="shared" si="23"/>
        <v>3.2499999999999994E-2</v>
      </c>
      <c r="J776" s="38" t="s">
        <v>168</v>
      </c>
    </row>
    <row r="777" spans="1:10">
      <c r="A777" s="18">
        <f t="shared" si="25"/>
        <v>41506</v>
      </c>
      <c r="B777" s="19">
        <v>41506</v>
      </c>
      <c r="C777" s="29">
        <f t="shared" si="24"/>
        <v>3.2500000000000001E-2</v>
      </c>
      <c r="E777" s="15" t="str">
        <f t="shared" si="21"/>
        <v>3Q2013</v>
      </c>
      <c r="F777" s="16">
        <f>+F776</f>
        <v>3.2500000000000001E-2</v>
      </c>
      <c r="H777" s="12">
        <v>41487</v>
      </c>
      <c r="I777" s="28">
        <f t="shared" si="23"/>
        <v>3.2499999999999994E-2</v>
      </c>
      <c r="J777" s="38" t="s">
        <v>169</v>
      </c>
    </row>
    <row r="778" spans="1:10">
      <c r="A778" s="9">
        <f t="shared" si="25"/>
        <v>41537</v>
      </c>
      <c r="B778" s="10">
        <v>41537</v>
      </c>
      <c r="C778" s="29">
        <f t="shared" si="24"/>
        <v>3.2500000000000001E-2</v>
      </c>
      <c r="E778" s="15" t="str">
        <f t="shared" si="21"/>
        <v>3Q2013</v>
      </c>
      <c r="F778" s="16">
        <f>+F777</f>
        <v>3.2500000000000001E-2</v>
      </c>
      <c r="H778" s="12">
        <v>41518</v>
      </c>
      <c r="I778" s="28">
        <f t="shared" si="23"/>
        <v>3.2499999999999994E-2</v>
      </c>
      <c r="J778" s="38" t="s">
        <v>170</v>
      </c>
    </row>
    <row r="779" spans="1:10">
      <c r="A779" s="9">
        <f t="shared" si="25"/>
        <v>41567</v>
      </c>
      <c r="B779" s="10">
        <v>41567</v>
      </c>
      <c r="C779" s="29">
        <f t="shared" si="24"/>
        <v>3.2500000000000001E-2</v>
      </c>
      <c r="E779" s="15" t="str">
        <f t="shared" ref="E779:E842" si="26">IF(MONTH(B779)&lt;4,"1",IF(MONTH(B779)&lt;7,"2",IF(MONTH(B779)&lt;10,"3","4")))&amp;"Q"&amp;YEAR(B779)</f>
        <v>4Q2013</v>
      </c>
      <c r="F779" s="16">
        <f>IF(COUNTIF(C775:C777,"&gt;0")&lt;3,"N/A",AVERAGE(C775:C777))</f>
        <v>3.2500000000000001E-2</v>
      </c>
      <c r="H779" s="12">
        <v>41548</v>
      </c>
      <c r="I779" s="28">
        <f t="shared" si="23"/>
        <v>3.2499999999999994E-2</v>
      </c>
      <c r="J779" s="38" t="s">
        <v>171</v>
      </c>
    </row>
    <row r="780" spans="1:10">
      <c r="A780" s="18">
        <f t="shared" si="25"/>
        <v>41598</v>
      </c>
      <c r="B780" s="19">
        <v>41598</v>
      </c>
      <c r="C780" s="29">
        <f t="shared" si="24"/>
        <v>3.2500000000000001E-2</v>
      </c>
      <c r="E780" s="15" t="str">
        <f t="shared" si="26"/>
        <v>4Q2013</v>
      </c>
      <c r="F780" s="16">
        <f>+F779</f>
        <v>3.2500000000000001E-2</v>
      </c>
      <c r="H780" s="12">
        <v>41579</v>
      </c>
      <c r="I780" s="28">
        <f t="shared" si="23"/>
        <v>3.2499999999999994E-2</v>
      </c>
      <c r="J780" s="38" t="s">
        <v>172</v>
      </c>
    </row>
    <row r="781" spans="1:10">
      <c r="A781" s="9">
        <f t="shared" si="25"/>
        <v>41628</v>
      </c>
      <c r="B781" s="10">
        <v>41628</v>
      </c>
      <c r="C781" s="29">
        <f t="shared" si="24"/>
        <v>3.2500000000000001E-2</v>
      </c>
      <c r="E781" s="15" t="str">
        <f t="shared" si="26"/>
        <v>4Q2013</v>
      </c>
      <c r="F781" s="16">
        <f>+F780</f>
        <v>3.2500000000000001E-2</v>
      </c>
      <c r="H781" s="12">
        <v>41609</v>
      </c>
      <c r="I781" s="28">
        <f t="shared" si="23"/>
        <v>3.2499999999999994E-2</v>
      </c>
      <c r="J781" s="38" t="s">
        <v>173</v>
      </c>
    </row>
    <row r="782" spans="1:10">
      <c r="A782" s="9">
        <f t="shared" si="25"/>
        <v>41659</v>
      </c>
      <c r="B782" s="10">
        <v>41659</v>
      </c>
      <c r="C782" s="29">
        <f t="shared" si="24"/>
        <v>3.2500000000000001E-2</v>
      </c>
      <c r="E782" s="15" t="str">
        <f t="shared" si="26"/>
        <v>1Q2014</v>
      </c>
      <c r="F782" s="16">
        <f>IF(COUNTIF(C778:C780,"&gt;0")&lt;3,"N/A",AVERAGE(C778:C780))</f>
        <v>3.2500000000000001E-2</v>
      </c>
      <c r="H782" s="12">
        <v>41640</v>
      </c>
      <c r="I782" s="28">
        <f t="shared" si="23"/>
        <v>3.2499999999999994E-2</v>
      </c>
      <c r="J782" s="38" t="s">
        <v>174</v>
      </c>
    </row>
    <row r="783" spans="1:10">
      <c r="A783" s="18">
        <f t="shared" si="25"/>
        <v>41690</v>
      </c>
      <c r="B783" s="19">
        <v>41690</v>
      </c>
      <c r="C783" s="29">
        <f t="shared" si="24"/>
        <v>3.2500000000000001E-2</v>
      </c>
      <c r="E783" s="15" t="str">
        <f t="shared" si="26"/>
        <v>1Q2014</v>
      </c>
      <c r="F783" s="16">
        <f>+F782</f>
        <v>3.2500000000000001E-2</v>
      </c>
      <c r="H783" s="12">
        <v>41671</v>
      </c>
      <c r="I783" s="28">
        <f t="shared" si="23"/>
        <v>3.2499999999999994E-2</v>
      </c>
      <c r="J783" s="38" t="s">
        <v>175</v>
      </c>
    </row>
    <row r="784" spans="1:10">
      <c r="A784" s="9">
        <f t="shared" si="25"/>
        <v>41718</v>
      </c>
      <c r="B784" s="10">
        <v>41718</v>
      </c>
      <c r="C784" s="29">
        <f t="shared" si="24"/>
        <v>3.2500000000000001E-2</v>
      </c>
      <c r="E784" s="15" t="str">
        <f t="shared" si="26"/>
        <v>1Q2014</v>
      </c>
      <c r="F784" s="16">
        <f>+F783</f>
        <v>3.2500000000000001E-2</v>
      </c>
      <c r="H784" s="12">
        <v>41699</v>
      </c>
      <c r="I784" s="28">
        <f t="shared" si="23"/>
        <v>3.2499999999999994E-2</v>
      </c>
      <c r="J784" s="38" t="s">
        <v>176</v>
      </c>
    </row>
    <row r="785" spans="1:23">
      <c r="A785" s="9">
        <f t="shared" si="25"/>
        <v>41749</v>
      </c>
      <c r="B785" s="10">
        <v>41749</v>
      </c>
      <c r="C785" s="29">
        <f t="shared" si="24"/>
        <v>3.2500000000000001E-2</v>
      </c>
      <c r="E785" s="15" t="str">
        <f t="shared" si="26"/>
        <v>2Q2014</v>
      </c>
      <c r="F785" s="16">
        <f>IF(COUNTIF(C781:C783,"&gt;0")&lt;3,"N/A",AVERAGE(C781:C783))</f>
        <v>3.2500000000000001E-2</v>
      </c>
      <c r="H785" s="12">
        <v>41730</v>
      </c>
      <c r="I785" s="28">
        <f t="shared" si="23"/>
        <v>3.2499999999999994E-2</v>
      </c>
      <c r="J785" s="38" t="s">
        <v>177</v>
      </c>
      <c r="K785" s="40"/>
    </row>
    <row r="786" spans="1:23">
      <c r="A786" s="18">
        <f t="shared" si="25"/>
        <v>41779</v>
      </c>
      <c r="B786" s="19">
        <v>41779</v>
      </c>
      <c r="C786" s="29">
        <f t="shared" si="24"/>
        <v>3.2500000000000001E-2</v>
      </c>
      <c r="E786" s="15" t="str">
        <f t="shared" si="26"/>
        <v>2Q2014</v>
      </c>
      <c r="F786" s="16">
        <f>+F785</f>
        <v>3.2500000000000001E-2</v>
      </c>
      <c r="H786" s="12">
        <v>41760</v>
      </c>
      <c r="I786" s="28">
        <f t="shared" si="23"/>
        <v>3.2499999999999994E-2</v>
      </c>
      <c r="J786" s="38" t="s">
        <v>178</v>
      </c>
      <c r="K786" s="40"/>
    </row>
    <row r="787" spans="1:23">
      <c r="A787" s="9">
        <f t="shared" si="25"/>
        <v>41810</v>
      </c>
      <c r="B787" s="10">
        <v>41810</v>
      </c>
      <c r="C787" s="29">
        <f t="shared" si="24"/>
        <v>3.2500000000000001E-2</v>
      </c>
      <c r="E787" s="15" t="str">
        <f t="shared" si="26"/>
        <v>2Q2014</v>
      </c>
      <c r="F787" s="16">
        <f>+F786</f>
        <v>3.2500000000000001E-2</v>
      </c>
      <c r="H787" s="12">
        <v>41791</v>
      </c>
      <c r="I787" s="28">
        <f t="shared" si="23"/>
        <v>3.2499999999999994E-2</v>
      </c>
      <c r="J787" s="38" t="s">
        <v>179</v>
      </c>
      <c r="K787" s="40"/>
    </row>
    <row r="788" spans="1:23">
      <c r="A788" s="9">
        <f t="shared" si="25"/>
        <v>41840</v>
      </c>
      <c r="B788" s="10">
        <v>41840</v>
      </c>
      <c r="C788" s="29">
        <f t="shared" si="24"/>
        <v>3.2500000000000001E-2</v>
      </c>
      <c r="E788" s="15" t="str">
        <f t="shared" si="26"/>
        <v>3Q2014</v>
      </c>
      <c r="F788" s="16">
        <f>IF(COUNTIF(C784:C786,"&gt;0")&lt;3,"N/A",AVERAGE(C784:C786))</f>
        <v>3.2500000000000001E-2</v>
      </c>
      <c r="H788" s="12">
        <v>41821</v>
      </c>
      <c r="I788" s="28">
        <f t="shared" si="23"/>
        <v>3.2499999999999994E-2</v>
      </c>
      <c r="J788" s="38" t="s">
        <v>180</v>
      </c>
      <c r="K788" s="40"/>
    </row>
    <row r="789" spans="1:23">
      <c r="A789" s="18">
        <f t="shared" si="25"/>
        <v>41871</v>
      </c>
      <c r="B789" s="19">
        <v>41871</v>
      </c>
      <c r="C789" s="29">
        <f t="shared" si="24"/>
        <v>3.2500000000000001E-2</v>
      </c>
      <c r="E789" s="15" t="str">
        <f t="shared" si="26"/>
        <v>3Q2014</v>
      </c>
      <c r="F789" s="16">
        <f>+F788</f>
        <v>3.2500000000000001E-2</v>
      </c>
      <c r="H789" s="12">
        <v>41852</v>
      </c>
      <c r="I789" s="28">
        <f t="shared" si="23"/>
        <v>3.2499999999999994E-2</v>
      </c>
      <c r="J789" s="38" t="s">
        <v>181</v>
      </c>
      <c r="K789" s="40"/>
      <c r="M789" s="21"/>
      <c r="N789" s="21"/>
      <c r="O789" s="21"/>
      <c r="P789" s="21"/>
      <c r="Q789" s="21"/>
      <c r="R789" s="21"/>
      <c r="S789" s="21"/>
      <c r="T789" s="21"/>
      <c r="U789" s="21"/>
      <c r="V789" s="21"/>
      <c r="W789" s="21"/>
    </row>
    <row r="790" spans="1:23">
      <c r="A790" s="9">
        <f t="shared" si="25"/>
        <v>41902</v>
      </c>
      <c r="B790" s="10">
        <v>41902</v>
      </c>
      <c r="C790" s="29">
        <f t="shared" si="24"/>
        <v>3.2500000000000001E-2</v>
      </c>
      <c r="E790" s="15" t="str">
        <f t="shared" si="26"/>
        <v>3Q2014</v>
      </c>
      <c r="F790" s="16">
        <f>+F789</f>
        <v>3.2500000000000001E-2</v>
      </c>
      <c r="H790" s="12">
        <v>41883</v>
      </c>
      <c r="I790" s="28">
        <f t="shared" si="23"/>
        <v>3.2499999999999994E-2</v>
      </c>
      <c r="J790" s="38" t="s">
        <v>182</v>
      </c>
      <c r="K790" s="40"/>
      <c r="M790" s="41"/>
      <c r="N790" s="42"/>
      <c r="O790" s="42"/>
      <c r="P790" s="42"/>
      <c r="Q790" s="42"/>
      <c r="R790" s="42"/>
      <c r="S790" s="21"/>
      <c r="T790" s="21"/>
      <c r="U790" s="21"/>
      <c r="V790" s="21"/>
      <c r="W790" s="21"/>
    </row>
    <row r="791" spans="1:23">
      <c r="A791" s="9">
        <f t="shared" si="25"/>
        <v>41932</v>
      </c>
      <c r="B791" s="10">
        <v>41932</v>
      </c>
      <c r="C791" s="29">
        <f t="shared" si="24"/>
        <v>3.2500000000000001E-2</v>
      </c>
      <c r="E791" s="15" t="str">
        <f t="shared" si="26"/>
        <v>4Q2014</v>
      </c>
      <c r="F791" s="16">
        <f>IF(COUNTIF(C787:C789,"&gt;0")&lt;3,"N/A",AVERAGE(C787:C789))</f>
        <v>3.2500000000000001E-2</v>
      </c>
      <c r="H791" s="12">
        <v>41913</v>
      </c>
      <c r="I791" s="28">
        <f t="shared" si="23"/>
        <v>3.2499999999999994E-2</v>
      </c>
      <c r="J791" s="38" t="s">
        <v>183</v>
      </c>
      <c r="K791" s="40"/>
      <c r="M791" s="42"/>
      <c r="N791" s="42"/>
      <c r="O791" s="42"/>
      <c r="P791" s="42"/>
      <c r="Q791" s="42"/>
      <c r="R791" s="42"/>
      <c r="S791" s="21"/>
      <c r="T791" s="21"/>
      <c r="U791" s="21"/>
      <c r="V791" s="21"/>
      <c r="W791" s="21"/>
    </row>
    <row r="792" spans="1:23">
      <c r="A792" s="18">
        <f t="shared" si="25"/>
        <v>41963</v>
      </c>
      <c r="B792" s="19">
        <v>41963</v>
      </c>
      <c r="C792" s="29">
        <f t="shared" si="24"/>
        <v>3.2500000000000001E-2</v>
      </c>
      <c r="E792" s="15" t="str">
        <f t="shared" si="26"/>
        <v>4Q2014</v>
      </c>
      <c r="F792" s="16">
        <f>+F791</f>
        <v>3.2500000000000001E-2</v>
      </c>
      <c r="H792" s="12">
        <v>41944</v>
      </c>
      <c r="I792" s="28">
        <f t="shared" si="23"/>
        <v>3.2499999999999994E-2</v>
      </c>
      <c r="J792" s="38" t="s">
        <v>184</v>
      </c>
      <c r="K792" s="40"/>
    </row>
    <row r="793" spans="1:23">
      <c r="A793" s="9">
        <f t="shared" si="25"/>
        <v>41993</v>
      </c>
      <c r="B793" s="10">
        <v>41993</v>
      </c>
      <c r="C793" s="29">
        <f t="shared" si="24"/>
        <v>3.2500000000000001E-2</v>
      </c>
      <c r="E793" s="15" t="str">
        <f t="shared" si="26"/>
        <v>4Q2014</v>
      </c>
      <c r="F793" s="16">
        <f>+F792</f>
        <v>3.2500000000000001E-2</v>
      </c>
      <c r="H793" s="12">
        <v>41974</v>
      </c>
      <c r="I793" s="28">
        <f t="shared" ref="I793:I847" si="27">AVERAGE(C781:C792)</f>
        <v>3.2499999999999994E-2</v>
      </c>
      <c r="J793" s="38" t="s">
        <v>185</v>
      </c>
      <c r="K793" s="40"/>
      <c r="M793" s="36" t="s">
        <v>186</v>
      </c>
    </row>
    <row r="794" spans="1:23">
      <c r="A794" s="9">
        <f t="shared" si="25"/>
        <v>42024</v>
      </c>
      <c r="B794" s="10">
        <v>42024</v>
      </c>
      <c r="C794" s="29">
        <f t="shared" si="24"/>
        <v>3.2500000000000001E-2</v>
      </c>
      <c r="E794" s="15" t="str">
        <f t="shared" si="26"/>
        <v>1Q2015</v>
      </c>
      <c r="F794" s="16">
        <f>IF(COUNTIF(C790:C792,"&gt;0")&lt;3,"N/A",AVERAGE(C790:C792))</f>
        <v>3.2500000000000001E-2</v>
      </c>
      <c r="H794" s="12">
        <v>42005</v>
      </c>
      <c r="I794" s="28">
        <f t="shared" si="27"/>
        <v>3.2499999999999994E-2</v>
      </c>
      <c r="J794" s="38" t="s">
        <v>187</v>
      </c>
      <c r="M794" s="37" t="s">
        <v>127</v>
      </c>
    </row>
    <row r="795" spans="1:23">
      <c r="A795" s="18">
        <f t="shared" si="25"/>
        <v>42055</v>
      </c>
      <c r="B795" s="19">
        <v>42055</v>
      </c>
      <c r="C795" s="29">
        <f t="shared" si="24"/>
        <v>3.2500000000000001E-2</v>
      </c>
      <c r="E795" s="15" t="str">
        <f t="shared" si="26"/>
        <v>1Q2015</v>
      </c>
      <c r="F795" s="16">
        <f>+F794</f>
        <v>3.2500000000000001E-2</v>
      </c>
      <c r="H795" s="12">
        <v>42036</v>
      </c>
      <c r="I795" s="28">
        <f t="shared" si="27"/>
        <v>3.2499999999999994E-2</v>
      </c>
      <c r="J795" s="38" t="s">
        <v>188</v>
      </c>
      <c r="M795" s="37" t="s">
        <v>129</v>
      </c>
    </row>
    <row r="796" spans="1:23">
      <c r="A796" s="9">
        <f t="shared" si="25"/>
        <v>42083</v>
      </c>
      <c r="B796" s="10">
        <v>42083</v>
      </c>
      <c r="C796" s="29">
        <f t="shared" si="24"/>
        <v>3.2500000000000001E-2</v>
      </c>
      <c r="E796" s="15" t="str">
        <f t="shared" si="26"/>
        <v>1Q2015</v>
      </c>
      <c r="F796" s="16">
        <f>+F795</f>
        <v>3.2500000000000001E-2</v>
      </c>
      <c r="H796" s="12">
        <v>42064</v>
      </c>
      <c r="I796" s="28">
        <f t="shared" si="27"/>
        <v>3.2499999999999994E-2</v>
      </c>
      <c r="J796" s="38" t="s">
        <v>189</v>
      </c>
    </row>
    <row r="797" spans="1:23">
      <c r="A797" s="9">
        <f t="shared" si="25"/>
        <v>42114</v>
      </c>
      <c r="B797" s="10">
        <v>42114</v>
      </c>
      <c r="C797" s="29">
        <f t="shared" si="24"/>
        <v>3.2500000000000001E-2</v>
      </c>
      <c r="E797" s="15" t="str">
        <f t="shared" si="26"/>
        <v>2Q2015</v>
      </c>
      <c r="F797" s="16">
        <f>IF(COUNTIF(C793:C795,"&gt;0")&lt;3,"N/A",AVERAGE(C793:C795))</f>
        <v>3.2500000000000001E-2</v>
      </c>
      <c r="H797" s="12">
        <v>42095</v>
      </c>
      <c r="I797" s="28">
        <f t="shared" si="27"/>
        <v>3.2499999999999994E-2</v>
      </c>
      <c r="J797" s="38" t="s">
        <v>190</v>
      </c>
    </row>
    <row r="798" spans="1:23">
      <c r="A798" s="18">
        <f t="shared" si="25"/>
        <v>42144</v>
      </c>
      <c r="B798" s="19">
        <v>42144</v>
      </c>
      <c r="C798" s="29">
        <f t="shared" si="24"/>
        <v>3.2500000000000001E-2</v>
      </c>
      <c r="E798" s="15" t="str">
        <f t="shared" si="26"/>
        <v>2Q2015</v>
      </c>
      <c r="F798" s="16">
        <f>+F797</f>
        <v>3.2500000000000001E-2</v>
      </c>
      <c r="H798" s="12">
        <v>42125</v>
      </c>
      <c r="I798" s="28">
        <f t="shared" si="27"/>
        <v>3.2499999999999994E-2</v>
      </c>
      <c r="J798" s="38" t="s">
        <v>191</v>
      </c>
    </row>
    <row r="799" spans="1:23">
      <c r="A799" s="9">
        <f t="shared" si="25"/>
        <v>42175</v>
      </c>
      <c r="B799" s="10">
        <v>42175</v>
      </c>
      <c r="C799" s="29">
        <f t="shared" si="24"/>
        <v>3.2500000000000001E-2</v>
      </c>
      <c r="E799" s="15" t="str">
        <f t="shared" si="26"/>
        <v>2Q2015</v>
      </c>
      <c r="F799" s="16">
        <f>+F798</f>
        <v>3.2500000000000001E-2</v>
      </c>
      <c r="H799" s="12">
        <v>42156</v>
      </c>
      <c r="I799" s="28">
        <f t="shared" si="27"/>
        <v>3.2499999999999994E-2</v>
      </c>
      <c r="J799" s="38" t="s">
        <v>192</v>
      </c>
    </row>
    <row r="800" spans="1:23">
      <c r="A800" s="9">
        <f t="shared" si="25"/>
        <v>42205</v>
      </c>
      <c r="B800" s="10">
        <v>42205</v>
      </c>
      <c r="C800" s="29">
        <f t="shared" si="24"/>
        <v>3.2500000000000001E-2</v>
      </c>
      <c r="E800" s="15" t="str">
        <f t="shared" si="26"/>
        <v>3Q2015</v>
      </c>
      <c r="F800" s="16">
        <f>IF(COUNTIF(C796:C798,"&gt;0")&lt;3,"N/A",AVERAGE(C796:C798))</f>
        <v>3.2500000000000001E-2</v>
      </c>
      <c r="H800" s="12">
        <v>42186</v>
      </c>
      <c r="I800" s="28">
        <f t="shared" si="27"/>
        <v>3.2499999999999994E-2</v>
      </c>
      <c r="J800" s="38" t="s">
        <v>193</v>
      </c>
      <c r="M800" s="6" t="s">
        <v>135</v>
      </c>
    </row>
    <row r="801" spans="1:13">
      <c r="A801" s="18">
        <f t="shared" si="25"/>
        <v>42236</v>
      </c>
      <c r="B801" s="19">
        <v>42236</v>
      </c>
      <c r="C801" s="29">
        <f t="shared" si="24"/>
        <v>3.2500000000000001E-2</v>
      </c>
      <c r="E801" s="15" t="str">
        <f t="shared" si="26"/>
        <v>3Q2015</v>
      </c>
      <c r="F801" s="16">
        <f>+F800</f>
        <v>3.2500000000000001E-2</v>
      </c>
      <c r="H801" s="12">
        <v>42217</v>
      </c>
      <c r="I801" s="28">
        <f t="shared" si="27"/>
        <v>3.2499999999999994E-2</v>
      </c>
      <c r="J801" s="38" t="s">
        <v>194</v>
      </c>
      <c r="M801" s="14" t="s">
        <v>137</v>
      </c>
    </row>
    <row r="802" spans="1:13">
      <c r="A802" s="9">
        <f t="shared" si="25"/>
        <v>42267</v>
      </c>
      <c r="B802" s="10">
        <v>42267</v>
      </c>
      <c r="C802" s="29">
        <f t="shared" si="24"/>
        <v>3.2500000000000001E-2</v>
      </c>
      <c r="E802" s="15" t="str">
        <f t="shared" si="26"/>
        <v>3Q2015</v>
      </c>
      <c r="F802" s="16">
        <f>+F801</f>
        <v>3.2500000000000001E-2</v>
      </c>
      <c r="H802" s="12">
        <v>42248</v>
      </c>
      <c r="I802" s="28">
        <f t="shared" si="27"/>
        <v>3.2499999999999994E-2</v>
      </c>
      <c r="J802" s="38" t="s">
        <v>195</v>
      </c>
    </row>
    <row r="803" spans="1:13">
      <c r="A803" s="9">
        <f t="shared" si="25"/>
        <v>42297</v>
      </c>
      <c r="B803" s="10">
        <v>42297</v>
      </c>
      <c r="C803" s="29">
        <f t="shared" si="24"/>
        <v>3.2500000000000001E-2</v>
      </c>
      <c r="E803" s="15" t="str">
        <f t="shared" si="26"/>
        <v>4Q2015</v>
      </c>
      <c r="F803" s="16">
        <f>IF(COUNTIF(C799:C801,"&gt;0")&lt;3,"N/A",AVERAGE(C799:C801))</f>
        <v>3.2500000000000001E-2</v>
      </c>
      <c r="H803" s="12">
        <v>42278</v>
      </c>
      <c r="I803" s="28">
        <f t="shared" si="27"/>
        <v>3.2499999999999994E-2</v>
      </c>
      <c r="J803" s="38" t="s">
        <v>196</v>
      </c>
    </row>
    <row r="804" spans="1:13">
      <c r="A804" s="18">
        <f t="shared" si="25"/>
        <v>42328</v>
      </c>
      <c r="B804" s="19">
        <v>42328</v>
      </c>
      <c r="C804" s="29">
        <f t="shared" si="24"/>
        <v>3.2500000000000001E-2</v>
      </c>
      <c r="E804" s="15" t="str">
        <f t="shared" si="26"/>
        <v>4Q2015</v>
      </c>
      <c r="F804" s="16">
        <f>+F803</f>
        <v>3.2500000000000001E-2</v>
      </c>
      <c r="H804" s="12">
        <v>42309</v>
      </c>
      <c r="I804" s="28">
        <f t="shared" si="27"/>
        <v>3.2499999999999994E-2</v>
      </c>
      <c r="J804" s="38" t="s">
        <v>197</v>
      </c>
    </row>
    <row r="805" spans="1:13">
      <c r="A805" s="9">
        <f t="shared" si="25"/>
        <v>42358</v>
      </c>
      <c r="B805" s="10">
        <v>42358</v>
      </c>
      <c r="C805" s="25">
        <f>VALUE(RIGHT(J805,5))/100</f>
        <v>3.2500000000000001E-2</v>
      </c>
      <c r="E805" s="15" t="str">
        <f t="shared" si="26"/>
        <v>4Q2015</v>
      </c>
      <c r="F805" s="16">
        <f>+F804</f>
        <v>3.2500000000000001E-2</v>
      </c>
      <c r="H805" s="12">
        <v>42339</v>
      </c>
      <c r="I805" s="28">
        <f t="shared" si="27"/>
        <v>3.2499999999999994E-2</v>
      </c>
      <c r="J805" s="38" t="s">
        <v>198</v>
      </c>
    </row>
    <row r="806" spans="1:13">
      <c r="A806" s="9">
        <f t="shared" si="25"/>
        <v>42389</v>
      </c>
      <c r="B806" s="10">
        <v>42389</v>
      </c>
      <c r="C806" s="25">
        <f>VALUE(RIGHT(J806,5))/100</f>
        <v>3.2500000000000001E-2</v>
      </c>
      <c r="E806" s="15" t="str">
        <f t="shared" si="26"/>
        <v>1Q2016</v>
      </c>
      <c r="F806" s="16">
        <f>IF(COUNTIF(C802:C804,"&gt;0")&lt;3,"N/A",AVERAGE(C802:C804))</f>
        <v>3.2500000000000001E-2</v>
      </c>
      <c r="H806" s="12">
        <v>42370</v>
      </c>
      <c r="I806" s="28">
        <f t="shared" si="27"/>
        <v>3.2499999999999994E-2</v>
      </c>
      <c r="J806" s="38" t="s">
        <v>199</v>
      </c>
    </row>
    <row r="807" spans="1:13">
      <c r="A807" s="18">
        <f t="shared" si="25"/>
        <v>42420</v>
      </c>
      <c r="B807" s="19">
        <v>42420</v>
      </c>
      <c r="C807" s="29">
        <f t="shared" ref="C807:C832" si="28">C806</f>
        <v>3.2500000000000001E-2</v>
      </c>
      <c r="E807" s="15" t="str">
        <f t="shared" si="26"/>
        <v>1Q2016</v>
      </c>
      <c r="F807" s="16">
        <f>+F806</f>
        <v>3.2500000000000001E-2</v>
      </c>
      <c r="H807" s="12">
        <v>42401</v>
      </c>
      <c r="I807" s="28">
        <f t="shared" si="27"/>
        <v>3.2499999999999994E-2</v>
      </c>
      <c r="J807" s="38" t="s">
        <v>200</v>
      </c>
    </row>
    <row r="808" spans="1:13">
      <c r="A808" s="9">
        <f t="shared" si="25"/>
        <v>42449</v>
      </c>
      <c r="B808" s="10">
        <v>42449</v>
      </c>
      <c r="C808" s="29">
        <f t="shared" si="28"/>
        <v>3.2500000000000001E-2</v>
      </c>
      <c r="E808" s="15" t="str">
        <f t="shared" si="26"/>
        <v>1Q2016</v>
      </c>
      <c r="F808" s="16">
        <f>+F807</f>
        <v>3.2500000000000001E-2</v>
      </c>
      <c r="H808" s="12">
        <v>42430</v>
      </c>
      <c r="I808" s="28">
        <f t="shared" si="27"/>
        <v>3.2499999999999994E-2</v>
      </c>
      <c r="J808" s="38" t="s">
        <v>201</v>
      </c>
    </row>
    <row r="809" spans="1:13">
      <c r="A809" s="9">
        <f t="shared" si="25"/>
        <v>42480</v>
      </c>
      <c r="B809" s="10">
        <v>42480</v>
      </c>
      <c r="C809" s="25">
        <f>VALUE(RIGHT(J809,5))/100</f>
        <v>3.4599999999999999E-2</v>
      </c>
      <c r="E809" s="15" t="str">
        <f t="shared" si="26"/>
        <v>2Q2016</v>
      </c>
      <c r="F809" s="16">
        <f>IF(COUNTIF(C805:C807,"&gt;0")&lt;3,"N/A",AVERAGE(C805:C807))</f>
        <v>3.2500000000000001E-2</v>
      </c>
      <c r="H809" s="12">
        <v>42461</v>
      </c>
      <c r="I809" s="28">
        <f t="shared" si="27"/>
        <v>3.2499999999999994E-2</v>
      </c>
      <c r="J809" s="38" t="s">
        <v>202</v>
      </c>
    </row>
    <row r="810" spans="1:13">
      <c r="A810" s="18">
        <f t="shared" si="25"/>
        <v>42510</v>
      </c>
      <c r="B810" s="19">
        <v>42510</v>
      </c>
      <c r="C810" s="29">
        <f t="shared" si="28"/>
        <v>3.4599999999999999E-2</v>
      </c>
      <c r="E810" s="15" t="str">
        <f t="shared" si="26"/>
        <v>2Q2016</v>
      </c>
      <c r="F810" s="16">
        <f>+F809</f>
        <v>3.2500000000000001E-2</v>
      </c>
      <c r="H810" s="12">
        <v>42491</v>
      </c>
      <c r="I810" s="28">
        <f t="shared" si="27"/>
        <v>3.2674999999999996E-2</v>
      </c>
      <c r="J810" s="38" t="s">
        <v>203</v>
      </c>
    </row>
    <row r="811" spans="1:13">
      <c r="A811" s="9">
        <f t="shared" si="25"/>
        <v>42541</v>
      </c>
      <c r="B811" s="10">
        <v>42541</v>
      </c>
      <c r="C811" s="29">
        <f t="shared" si="28"/>
        <v>3.4599999999999999E-2</v>
      </c>
      <c r="E811" s="15" t="str">
        <f t="shared" si="26"/>
        <v>2Q2016</v>
      </c>
      <c r="F811" s="16">
        <f>+F810</f>
        <v>3.2500000000000001E-2</v>
      </c>
      <c r="H811" s="12">
        <v>42522</v>
      </c>
      <c r="I811" s="28">
        <f t="shared" si="27"/>
        <v>3.2849999999999997E-2</v>
      </c>
      <c r="J811" s="38" t="s">
        <v>204</v>
      </c>
    </row>
    <row r="812" spans="1:13">
      <c r="A812" s="9">
        <f t="shared" si="25"/>
        <v>42571</v>
      </c>
      <c r="B812" s="10">
        <v>42571</v>
      </c>
      <c r="C812" s="25">
        <f>VALUE(RIGHT(J812,5))/100</f>
        <v>3.5000000000000003E-2</v>
      </c>
      <c r="E812" s="15" t="str">
        <f t="shared" si="26"/>
        <v>3Q2016</v>
      </c>
      <c r="F812" s="16">
        <f>IF(COUNTIF(C808:C810,"&gt;0")&lt;3,"N/A",AVERAGE(C808:C810))</f>
        <v>3.3899999999999993E-2</v>
      </c>
      <c r="H812" s="12">
        <v>42552</v>
      </c>
      <c r="I812" s="28">
        <f t="shared" si="27"/>
        <v>3.3025000000000006E-2</v>
      </c>
      <c r="J812" s="38" t="s">
        <v>205</v>
      </c>
    </row>
    <row r="813" spans="1:13">
      <c r="A813" s="18">
        <f t="shared" si="25"/>
        <v>42602</v>
      </c>
      <c r="B813" s="19">
        <v>42602</v>
      </c>
      <c r="C813" s="29">
        <f t="shared" si="28"/>
        <v>3.5000000000000003E-2</v>
      </c>
      <c r="E813" s="15" t="str">
        <f t="shared" si="26"/>
        <v>3Q2016</v>
      </c>
      <c r="F813" s="16">
        <f>+F812</f>
        <v>3.3899999999999993E-2</v>
      </c>
      <c r="H813" s="12">
        <v>42583</v>
      </c>
      <c r="I813" s="28">
        <f t="shared" si="27"/>
        <v>3.3233333333333337E-2</v>
      </c>
      <c r="J813" s="38" t="s">
        <v>206</v>
      </c>
    </row>
    <row r="814" spans="1:13">
      <c r="A814" s="9">
        <f t="shared" si="25"/>
        <v>42633</v>
      </c>
      <c r="B814" s="10">
        <v>42633</v>
      </c>
      <c r="C814" s="29">
        <f t="shared" si="28"/>
        <v>3.5000000000000003E-2</v>
      </c>
      <c r="E814" s="15" t="str">
        <f t="shared" si="26"/>
        <v>3Q2016</v>
      </c>
      <c r="F814" s="16">
        <f>+F813</f>
        <v>3.3899999999999993E-2</v>
      </c>
      <c r="H814" s="12">
        <v>42614</v>
      </c>
      <c r="I814" s="28">
        <f t="shared" si="27"/>
        <v>3.3441666666666675E-2</v>
      </c>
      <c r="J814" s="38" t="s">
        <v>207</v>
      </c>
    </row>
    <row r="815" spans="1:13">
      <c r="A815" s="9">
        <f t="shared" si="25"/>
        <v>42663</v>
      </c>
      <c r="B815" s="10">
        <v>42663</v>
      </c>
      <c r="C815" s="25">
        <f>VALUE(RIGHT(J815,5))/100</f>
        <v>3.5000000000000003E-2</v>
      </c>
      <c r="E815" s="15" t="str">
        <f t="shared" si="26"/>
        <v>4Q2016</v>
      </c>
      <c r="F815" s="16">
        <f>IF(COUNTIF(C811:C813,"&gt;0")&lt;3,"N/A",AVERAGE(C811:C813))</f>
        <v>3.4866666666666664E-2</v>
      </c>
      <c r="H815" s="12">
        <v>42644</v>
      </c>
      <c r="I815" s="28">
        <f t="shared" si="27"/>
        <v>3.3650000000000006E-2</v>
      </c>
      <c r="J815" s="38" t="s">
        <v>208</v>
      </c>
    </row>
    <row r="816" spans="1:13">
      <c r="A816" s="18">
        <f t="shared" si="25"/>
        <v>42694</v>
      </c>
      <c r="B816" s="19">
        <v>42694</v>
      </c>
      <c r="C816" s="29">
        <f t="shared" si="28"/>
        <v>3.5000000000000003E-2</v>
      </c>
      <c r="E816" s="15" t="str">
        <f t="shared" si="26"/>
        <v>4Q2016</v>
      </c>
      <c r="F816" s="16">
        <f>+F815</f>
        <v>3.4866666666666664E-2</v>
      </c>
      <c r="H816" s="12">
        <v>42675</v>
      </c>
      <c r="I816" s="28">
        <f t="shared" si="27"/>
        <v>3.3858333333333344E-2</v>
      </c>
      <c r="J816" s="38" t="s">
        <v>209</v>
      </c>
    </row>
    <row r="817" spans="1:10">
      <c r="A817" s="9">
        <f t="shared" si="25"/>
        <v>42724</v>
      </c>
      <c r="B817" s="10">
        <v>42724</v>
      </c>
      <c r="C817" s="29">
        <f t="shared" si="28"/>
        <v>3.5000000000000003E-2</v>
      </c>
      <c r="E817" s="15" t="str">
        <f t="shared" si="26"/>
        <v>4Q2016</v>
      </c>
      <c r="F817" s="16">
        <f>+F816</f>
        <v>3.4866666666666664E-2</v>
      </c>
      <c r="H817" s="12">
        <v>42705</v>
      </c>
      <c r="I817" s="28">
        <f t="shared" si="27"/>
        <v>3.4066666666666669E-2</v>
      </c>
      <c r="J817" s="38" t="s">
        <v>210</v>
      </c>
    </row>
    <row r="818" spans="1:10">
      <c r="A818" s="9">
        <f t="shared" si="25"/>
        <v>42755</v>
      </c>
      <c r="B818" s="10">
        <v>42755</v>
      </c>
      <c r="C818" s="25">
        <f>VALUE(RIGHT(J818,5))/100</f>
        <v>3.5000000000000003E-2</v>
      </c>
      <c r="E818" s="15" t="str">
        <f t="shared" si="26"/>
        <v>1Q2017</v>
      </c>
      <c r="F818" s="16">
        <f>IF(COUNTIF(C814:C816,"&gt;0")&lt;3,"N/A",AVERAGE(C814:C816))</f>
        <v>3.5000000000000003E-2</v>
      </c>
      <c r="H818" s="12">
        <v>42736</v>
      </c>
      <c r="I818" s="28">
        <f t="shared" si="27"/>
        <v>3.4275000000000007E-2</v>
      </c>
      <c r="J818" s="43" t="s">
        <v>211</v>
      </c>
    </row>
    <row r="819" spans="1:10">
      <c r="A819" s="18">
        <f t="shared" si="25"/>
        <v>42786</v>
      </c>
      <c r="B819" s="19">
        <v>42786</v>
      </c>
      <c r="C819" s="29">
        <f t="shared" si="28"/>
        <v>3.5000000000000003E-2</v>
      </c>
      <c r="E819" s="15" t="str">
        <f t="shared" si="26"/>
        <v>1Q2017</v>
      </c>
      <c r="F819" s="16">
        <f>+F818</f>
        <v>3.5000000000000003E-2</v>
      </c>
      <c r="H819" s="12">
        <v>42767</v>
      </c>
      <c r="I819" s="28">
        <f t="shared" si="27"/>
        <v>3.4483333333333338E-2</v>
      </c>
      <c r="J819" s="44" t="s">
        <v>212</v>
      </c>
    </row>
    <row r="820" spans="1:10">
      <c r="A820" s="9">
        <f t="shared" si="25"/>
        <v>42814</v>
      </c>
      <c r="B820" s="10">
        <v>42814</v>
      </c>
      <c r="C820" s="29">
        <f t="shared" si="28"/>
        <v>3.5000000000000003E-2</v>
      </c>
      <c r="E820" s="15" t="str">
        <f t="shared" si="26"/>
        <v>1Q2017</v>
      </c>
      <c r="F820" s="16">
        <f>+F819</f>
        <v>3.5000000000000003E-2</v>
      </c>
      <c r="H820" s="12">
        <v>42795</v>
      </c>
      <c r="I820" s="28">
        <f t="shared" si="27"/>
        <v>3.4691666666666676E-2</v>
      </c>
      <c r="J820" s="44" t="s">
        <v>213</v>
      </c>
    </row>
    <row r="821" spans="1:10">
      <c r="A821" s="9">
        <f t="shared" si="25"/>
        <v>42845</v>
      </c>
      <c r="B821" s="10">
        <v>42845</v>
      </c>
      <c r="C821" s="25">
        <f>VALUE(RIGHT(J821,5))/100</f>
        <v>3.7100000000000001E-2</v>
      </c>
      <c r="E821" s="15" t="str">
        <f t="shared" si="26"/>
        <v>2Q2017</v>
      </c>
      <c r="F821" s="16">
        <f>IF(COUNTIF(C817:C819,"&gt;0")&lt;3,"N/A",AVERAGE(C817:C819))</f>
        <v>3.5000000000000003E-2</v>
      </c>
      <c r="H821" s="12">
        <v>42826</v>
      </c>
      <c r="I821" s="28">
        <f t="shared" si="27"/>
        <v>3.4900000000000014E-2</v>
      </c>
      <c r="J821" s="44" t="s">
        <v>214</v>
      </c>
    </row>
    <row r="822" spans="1:10">
      <c r="A822" s="18">
        <f t="shared" si="25"/>
        <v>42875</v>
      </c>
      <c r="B822" s="19">
        <v>42875</v>
      </c>
      <c r="C822" s="29">
        <f t="shared" si="28"/>
        <v>3.7100000000000001E-2</v>
      </c>
      <c r="E822" s="15" t="str">
        <f t="shared" si="26"/>
        <v>2Q2017</v>
      </c>
      <c r="F822" s="16">
        <f>+F821</f>
        <v>3.5000000000000003E-2</v>
      </c>
      <c r="H822" s="12">
        <v>42856</v>
      </c>
      <c r="I822" s="28">
        <f t="shared" si="27"/>
        <v>3.5108333333333346E-2</v>
      </c>
      <c r="J822" s="44" t="s">
        <v>215</v>
      </c>
    </row>
    <row r="823" spans="1:10">
      <c r="A823" s="9">
        <f t="shared" si="25"/>
        <v>42906</v>
      </c>
      <c r="B823" s="10">
        <v>42906</v>
      </c>
      <c r="C823" s="29">
        <f t="shared" si="28"/>
        <v>3.7100000000000001E-2</v>
      </c>
      <c r="E823" s="15" t="str">
        <f t="shared" si="26"/>
        <v>2Q2017</v>
      </c>
      <c r="F823" s="16">
        <f>+F822</f>
        <v>3.5000000000000003E-2</v>
      </c>
      <c r="H823" s="12">
        <v>42887</v>
      </c>
      <c r="I823" s="28">
        <f t="shared" si="27"/>
        <v>3.531666666666667E-2</v>
      </c>
      <c r="J823" s="44" t="s">
        <v>216</v>
      </c>
    </row>
    <row r="824" spans="1:10">
      <c r="A824" s="9">
        <f t="shared" si="25"/>
        <v>42936</v>
      </c>
      <c r="B824" s="10">
        <v>42936</v>
      </c>
      <c r="C824" s="25">
        <f>VALUE(RIGHT(J824,5))/100</f>
        <v>3.9599999999999996E-2</v>
      </c>
      <c r="E824" s="15" t="str">
        <f t="shared" si="26"/>
        <v>3Q2017</v>
      </c>
      <c r="F824" s="16">
        <f>IF(COUNTIF(C820:C822,"&gt;0")&lt;3,"N/A",AVERAGE(C820:C822))</f>
        <v>3.6399999999999995E-2</v>
      </c>
      <c r="H824" s="12">
        <v>42917</v>
      </c>
      <c r="I824" s="28">
        <f t="shared" si="27"/>
        <v>3.5525000000000008E-2</v>
      </c>
      <c r="J824" s="44" t="s">
        <v>217</v>
      </c>
    </row>
    <row r="825" spans="1:10">
      <c r="A825" s="18">
        <f t="shared" si="25"/>
        <v>42967</v>
      </c>
      <c r="B825" s="19">
        <v>42967</v>
      </c>
      <c r="C825" s="45">
        <f t="shared" si="28"/>
        <v>3.9599999999999996E-2</v>
      </c>
      <c r="E825" s="15" t="str">
        <f t="shared" si="26"/>
        <v>3Q2017</v>
      </c>
      <c r="F825" s="16">
        <f>+F824</f>
        <v>3.6399999999999995E-2</v>
      </c>
      <c r="H825" s="12">
        <v>42948</v>
      </c>
      <c r="I825" s="28">
        <f t="shared" si="27"/>
        <v>3.5908333333333341E-2</v>
      </c>
      <c r="J825" s="44" t="s">
        <v>218</v>
      </c>
    </row>
    <row r="826" spans="1:10">
      <c r="A826" s="9">
        <f t="shared" si="25"/>
        <v>42998</v>
      </c>
      <c r="B826" s="10">
        <v>42998</v>
      </c>
      <c r="C826" s="45">
        <f t="shared" si="28"/>
        <v>3.9599999999999996E-2</v>
      </c>
      <c r="E826" s="15" t="str">
        <f t="shared" si="26"/>
        <v>3Q2017</v>
      </c>
      <c r="F826" s="16">
        <f>+F825</f>
        <v>3.6399999999999995E-2</v>
      </c>
      <c r="H826" s="12">
        <v>42979</v>
      </c>
      <c r="I826" s="28">
        <f t="shared" si="27"/>
        <v>3.6291666666666667E-2</v>
      </c>
      <c r="J826" s="44" t="s">
        <v>219</v>
      </c>
    </row>
    <row r="827" spans="1:10">
      <c r="A827" s="9">
        <f t="shared" si="25"/>
        <v>43028</v>
      </c>
      <c r="B827" s="10">
        <v>43028</v>
      </c>
      <c r="C827" s="29">
        <f>VALUE(RIGHT(J827,5))/100</f>
        <v>4.2099999999999999E-2</v>
      </c>
      <c r="E827" s="15" t="str">
        <f t="shared" si="26"/>
        <v>4Q2017</v>
      </c>
      <c r="F827" s="16">
        <f>IF(COUNTIF(C823:C825,"&gt;0")&lt;3,"N/A",AVERAGE(C823:C825))</f>
        <v>3.8766666666666665E-2</v>
      </c>
      <c r="H827" s="12">
        <v>43009</v>
      </c>
      <c r="I827" s="28">
        <f t="shared" si="27"/>
        <v>3.6674999999999992E-2</v>
      </c>
      <c r="J827" s="44" t="s">
        <v>220</v>
      </c>
    </row>
    <row r="828" spans="1:10">
      <c r="A828" s="18">
        <f t="shared" si="25"/>
        <v>43059</v>
      </c>
      <c r="B828" s="19">
        <v>43059</v>
      </c>
      <c r="C828" s="45">
        <f t="shared" si="28"/>
        <v>4.2099999999999999E-2</v>
      </c>
      <c r="E828" s="15" t="str">
        <f t="shared" si="26"/>
        <v>4Q2017</v>
      </c>
      <c r="F828" s="16">
        <f>+F827</f>
        <v>3.8766666666666665E-2</v>
      </c>
      <c r="H828" s="12">
        <v>43040</v>
      </c>
      <c r="I828" s="28">
        <f t="shared" si="27"/>
        <v>3.7266666666666663E-2</v>
      </c>
      <c r="J828" s="44" t="s">
        <v>221</v>
      </c>
    </row>
    <row r="829" spans="1:10">
      <c r="A829" s="9">
        <f t="shared" si="25"/>
        <v>43089</v>
      </c>
      <c r="B829" s="10">
        <v>43089</v>
      </c>
      <c r="C829" s="45">
        <f t="shared" si="28"/>
        <v>4.2099999999999999E-2</v>
      </c>
      <c r="E829" s="15" t="str">
        <f t="shared" si="26"/>
        <v>4Q2017</v>
      </c>
      <c r="F829" s="16">
        <f>+F828</f>
        <v>3.8766666666666665E-2</v>
      </c>
      <c r="H829" s="12">
        <v>43070</v>
      </c>
      <c r="I829" s="28">
        <f t="shared" si="27"/>
        <v>3.7858333333333334E-2</v>
      </c>
      <c r="J829" s="44" t="s">
        <v>222</v>
      </c>
    </row>
    <row r="830" spans="1:10">
      <c r="A830" s="9">
        <f t="shared" si="25"/>
        <v>43120</v>
      </c>
      <c r="B830" s="10">
        <v>43120</v>
      </c>
      <c r="C830" s="29">
        <f>VALUE(RIGHT(J830,5))/100</f>
        <v>4.2500000000000003E-2</v>
      </c>
      <c r="E830" s="15" t="str">
        <f t="shared" si="26"/>
        <v>1Q2018</v>
      </c>
      <c r="F830" s="16">
        <f>IF(COUNTIF(C826:C828,"&gt;0")&lt;3,"N/A",AVERAGE(C826:C828))</f>
        <v>4.1266666666666667E-2</v>
      </c>
      <c r="H830" s="12">
        <v>43101</v>
      </c>
      <c r="I830" s="28">
        <f>AVERAGE(C818:C829)</f>
        <v>3.8450000000000005E-2</v>
      </c>
      <c r="J830" s="37" t="s">
        <v>223</v>
      </c>
    </row>
    <row r="831" spans="1:10">
      <c r="A831" s="18">
        <f t="shared" si="25"/>
        <v>43151</v>
      </c>
      <c r="B831" s="19">
        <v>43151</v>
      </c>
      <c r="C831" s="45">
        <f t="shared" si="28"/>
        <v>4.2500000000000003E-2</v>
      </c>
      <c r="E831" s="15" t="str">
        <f t="shared" si="26"/>
        <v>1Q2018</v>
      </c>
      <c r="F831" s="16">
        <f>+F830</f>
        <v>4.1266666666666667E-2</v>
      </c>
      <c r="H831" s="12">
        <v>43132</v>
      </c>
      <c r="I831" s="28">
        <f t="shared" si="27"/>
        <v>3.9074999999999999E-2</v>
      </c>
      <c r="J831" s="44" t="s">
        <v>224</v>
      </c>
    </row>
    <row r="832" spans="1:10">
      <c r="A832" s="9">
        <f t="shared" si="25"/>
        <v>43179</v>
      </c>
      <c r="B832" s="10">
        <v>43179</v>
      </c>
      <c r="C832" s="45">
        <f t="shared" si="28"/>
        <v>4.2500000000000003E-2</v>
      </c>
      <c r="E832" s="15" t="str">
        <f t="shared" si="26"/>
        <v>1Q2018</v>
      </c>
      <c r="F832" s="16">
        <f>+F831</f>
        <v>4.1266666666666667E-2</v>
      </c>
      <c r="H832" s="12">
        <v>43160</v>
      </c>
      <c r="I832" s="28">
        <f t="shared" si="27"/>
        <v>3.9700000000000006E-2</v>
      </c>
      <c r="J832" s="44" t="s">
        <v>225</v>
      </c>
    </row>
    <row r="833" spans="1:10">
      <c r="A833" s="9">
        <f t="shared" si="25"/>
        <v>43210</v>
      </c>
      <c r="B833" s="10">
        <v>43210</v>
      </c>
      <c r="C833" s="29">
        <f>VALUE(RIGHT(J833,5))/100</f>
        <v>4.4699999999999997E-2</v>
      </c>
      <c r="E833" s="15" t="str">
        <f t="shared" si="26"/>
        <v>2Q2018</v>
      </c>
      <c r="F833" s="16">
        <f>IF(COUNTIF(C829:C831,"&gt;0")&lt;3,"N/A",AVERAGE(C829:C831))</f>
        <v>4.2366666666666671E-2</v>
      </c>
      <c r="H833" s="12">
        <v>43191</v>
      </c>
      <c r="I833" s="28">
        <f t="shared" si="27"/>
        <v>4.0325E-2</v>
      </c>
      <c r="J833" s="44" t="s">
        <v>226</v>
      </c>
    </row>
    <row r="834" spans="1:10">
      <c r="A834" s="18">
        <f t="shared" si="25"/>
        <v>43240</v>
      </c>
      <c r="B834" s="19">
        <v>43240</v>
      </c>
      <c r="C834" s="29">
        <f t="shared" ref="C834" si="29">VALUE(RIGHT(J834,5))/100</f>
        <v>4.4699999999999997E-2</v>
      </c>
      <c r="E834" s="15" t="str">
        <f t="shared" si="26"/>
        <v>2Q2018</v>
      </c>
      <c r="F834" s="16">
        <f>+F833</f>
        <v>4.2366666666666671E-2</v>
      </c>
      <c r="H834" s="12">
        <v>43221</v>
      </c>
      <c r="I834" s="28">
        <f t="shared" si="27"/>
        <v>4.0958333333333333E-2</v>
      </c>
      <c r="J834" s="44" t="s">
        <v>227</v>
      </c>
    </row>
    <row r="835" spans="1:10">
      <c r="A835" s="9">
        <f t="shared" si="25"/>
        <v>43271</v>
      </c>
      <c r="B835" s="10">
        <v>43271</v>
      </c>
      <c r="C835" s="29">
        <f>VALUE(RIGHT(J835,5))/100</f>
        <v>4.4699999999999997E-2</v>
      </c>
      <c r="E835" s="15" t="str">
        <f t="shared" si="26"/>
        <v>2Q2018</v>
      </c>
      <c r="F835" s="16">
        <f>+F834</f>
        <v>4.2366666666666671E-2</v>
      </c>
      <c r="H835" s="12">
        <v>43252</v>
      </c>
      <c r="I835" s="28">
        <f t="shared" si="27"/>
        <v>4.1591666666666666E-2</v>
      </c>
      <c r="J835" s="44" t="s">
        <v>228</v>
      </c>
    </row>
    <row r="836" spans="1:10">
      <c r="A836" s="9">
        <f t="shared" si="25"/>
        <v>43301</v>
      </c>
      <c r="B836" s="10">
        <v>43301</v>
      </c>
      <c r="C836" s="29">
        <f t="shared" ref="C836:C844" si="30">VALUE(RIGHT(J836,5))/100</f>
        <v>4.6900000000000004E-2</v>
      </c>
      <c r="E836" s="15" t="str">
        <f t="shared" si="26"/>
        <v>3Q2018</v>
      </c>
      <c r="F836" s="16">
        <f>IF(COUNTIF(C832:C834,"&gt;0")&lt;3,"N/A",AVERAGE(C832:C834))</f>
        <v>4.3966666666666661E-2</v>
      </c>
      <c r="H836" s="12">
        <v>43282</v>
      </c>
      <c r="I836" s="28">
        <f t="shared" si="27"/>
        <v>4.2224999999999992E-2</v>
      </c>
      <c r="J836" s="44" t="s">
        <v>253</v>
      </c>
    </row>
    <row r="837" spans="1:10">
      <c r="A837" s="18">
        <f t="shared" ref="A837:A900" si="31">+B837</f>
        <v>43332</v>
      </c>
      <c r="B837" s="19">
        <v>43332</v>
      </c>
      <c r="C837" s="29">
        <f t="shared" si="30"/>
        <v>4.6900000000000004E-2</v>
      </c>
      <c r="E837" s="15" t="str">
        <f t="shared" si="26"/>
        <v>3Q2018</v>
      </c>
      <c r="F837" s="16">
        <f>+F836</f>
        <v>4.3966666666666661E-2</v>
      </c>
      <c r="H837" s="12">
        <v>43313</v>
      </c>
      <c r="I837" s="28">
        <f t="shared" si="27"/>
        <v>4.2833333333333334E-2</v>
      </c>
      <c r="J837" s="44" t="s">
        <v>254</v>
      </c>
    </row>
    <row r="838" spans="1:10">
      <c r="A838" s="9">
        <f t="shared" si="31"/>
        <v>43363</v>
      </c>
      <c r="B838" s="10">
        <v>43363</v>
      </c>
      <c r="C838" s="29">
        <f t="shared" si="30"/>
        <v>4.6900000000000004E-2</v>
      </c>
      <c r="E838" s="15" t="str">
        <f t="shared" si="26"/>
        <v>3Q2018</v>
      </c>
      <c r="F838" s="16">
        <f>+F837</f>
        <v>4.3966666666666661E-2</v>
      </c>
      <c r="H838" s="12">
        <v>43344</v>
      </c>
      <c r="I838" s="28">
        <f>AVERAGE(C826:C837)</f>
        <v>4.3441666666666677E-2</v>
      </c>
      <c r="J838" s="44" t="s">
        <v>255</v>
      </c>
    </row>
    <row r="839" spans="1:10">
      <c r="A839" s="9">
        <f t="shared" si="31"/>
        <v>43393</v>
      </c>
      <c r="B839" s="10">
        <v>43393</v>
      </c>
      <c r="C839" s="29">
        <f t="shared" si="30"/>
        <v>4.9599999999999998E-2</v>
      </c>
      <c r="E839" s="15" t="str">
        <f t="shared" si="26"/>
        <v>4Q2018</v>
      </c>
      <c r="F839" s="16">
        <f>IF(COUNTIF(C835:C837,"&gt;0")&lt;3,"N/A",AVERAGE(C835:C837))</f>
        <v>4.6166666666666668E-2</v>
      </c>
      <c r="H839" s="12">
        <v>43374</v>
      </c>
      <c r="I839" s="28">
        <f t="shared" si="27"/>
        <v>4.4050000000000006E-2</v>
      </c>
      <c r="J839" s="44" t="s">
        <v>256</v>
      </c>
    </row>
    <row r="840" spans="1:10">
      <c r="A840" s="18">
        <f t="shared" si="31"/>
        <v>43424</v>
      </c>
      <c r="B840" s="19">
        <v>43424</v>
      </c>
      <c r="C840" s="29">
        <f t="shared" si="30"/>
        <v>4.9599999999999998E-2</v>
      </c>
      <c r="E840" s="15" t="str">
        <f t="shared" si="26"/>
        <v>4Q2018</v>
      </c>
      <c r="F840" s="16">
        <f>+F839</f>
        <v>4.6166666666666668E-2</v>
      </c>
      <c r="H840" s="12">
        <v>43405</v>
      </c>
      <c r="I840" s="28">
        <f t="shared" si="27"/>
        <v>4.4674999999999999E-2</v>
      </c>
      <c r="J840" s="44" t="s">
        <v>257</v>
      </c>
    </row>
    <row r="841" spans="1:10">
      <c r="A841" s="9">
        <f t="shared" si="31"/>
        <v>43454</v>
      </c>
      <c r="B841" s="10">
        <v>43454</v>
      </c>
      <c r="C841" s="29">
        <f t="shared" si="30"/>
        <v>4.9599999999999998E-2</v>
      </c>
      <c r="E841" s="15" t="str">
        <f t="shared" si="26"/>
        <v>4Q2018</v>
      </c>
      <c r="F841" s="16">
        <f>+F840</f>
        <v>4.6166666666666668E-2</v>
      </c>
      <c r="H841" s="12">
        <v>43435</v>
      </c>
      <c r="I841" s="28">
        <f t="shared" si="27"/>
        <v>4.53E-2</v>
      </c>
      <c r="J841" s="44" t="s">
        <v>258</v>
      </c>
    </row>
    <row r="842" spans="1:10">
      <c r="A842" s="9">
        <f t="shared" si="31"/>
        <v>43485</v>
      </c>
      <c r="B842" s="10">
        <v>43485</v>
      </c>
      <c r="C842" s="29">
        <f t="shared" si="30"/>
        <v>5.1799999999999999E-2</v>
      </c>
      <c r="E842" s="15" t="str">
        <f t="shared" si="26"/>
        <v>1Q2019</v>
      </c>
      <c r="F842" s="16">
        <f>IF(COUNTIF(C838:C840,"&gt;0")&lt;3,"N/A",AVERAGE(C838:C840))</f>
        <v>4.87E-2</v>
      </c>
      <c r="H842" s="12">
        <v>43466</v>
      </c>
      <c r="I842" s="28">
        <f t="shared" si="27"/>
        <v>4.5924999999999994E-2</v>
      </c>
      <c r="J842" s="44" t="s">
        <v>259</v>
      </c>
    </row>
    <row r="843" spans="1:10">
      <c r="A843" s="18">
        <f t="shared" si="31"/>
        <v>43516</v>
      </c>
      <c r="B843" s="19">
        <v>43516</v>
      </c>
      <c r="C843" s="29">
        <f t="shared" si="30"/>
        <v>5.1799999999999999E-2</v>
      </c>
      <c r="E843" s="15" t="str">
        <f t="shared" ref="E843:E906" si="32">IF(MONTH(B843)&lt;4,"1",IF(MONTH(B843)&lt;7,"2",IF(MONTH(B843)&lt;10,"3","4")))&amp;"Q"&amp;YEAR(B843)</f>
        <v>1Q2019</v>
      </c>
      <c r="F843" s="16">
        <f>+F842</f>
        <v>4.87E-2</v>
      </c>
      <c r="H843" s="12">
        <v>43497</v>
      </c>
      <c r="I843" s="28">
        <f t="shared" si="27"/>
        <v>4.6699999999999992E-2</v>
      </c>
      <c r="J843" s="44" t="s">
        <v>260</v>
      </c>
    </row>
    <row r="844" spans="1:10">
      <c r="A844" s="9">
        <f t="shared" si="31"/>
        <v>43544</v>
      </c>
      <c r="B844" s="10">
        <v>43544</v>
      </c>
      <c r="C844" s="29">
        <f t="shared" si="30"/>
        <v>5.1799999999999999E-2</v>
      </c>
      <c r="E844" s="15" t="str">
        <f t="shared" si="32"/>
        <v>1Q2019</v>
      </c>
      <c r="F844" s="16">
        <f>+F843</f>
        <v>4.87E-2</v>
      </c>
      <c r="H844" s="12">
        <v>43525</v>
      </c>
      <c r="I844" s="28">
        <f t="shared" si="27"/>
        <v>4.7474999999999989E-2</v>
      </c>
      <c r="J844" s="44" t="s">
        <v>261</v>
      </c>
    </row>
    <row r="845" spans="1:10">
      <c r="A845" s="9">
        <f t="shared" si="31"/>
        <v>43575</v>
      </c>
      <c r="B845" s="10">
        <v>43575</v>
      </c>
      <c r="C845" s="95">
        <f t="shared" ref="C845:C847" si="33">C844</f>
        <v>5.1799999999999999E-2</v>
      </c>
      <c r="E845" s="15" t="str">
        <f t="shared" si="32"/>
        <v>2Q2019</v>
      </c>
      <c r="F845" s="16">
        <f>IF(COUNTIF(C841:C843,"&gt;0")&lt;3,"N/A",AVERAGE(C841:C843))</f>
        <v>5.106666666666667E-2</v>
      </c>
      <c r="H845" s="12">
        <v>43556</v>
      </c>
      <c r="I845" s="28">
        <f t="shared" si="27"/>
        <v>4.8249999999999987E-2</v>
      </c>
      <c r="J845" s="103"/>
    </row>
    <row r="846" spans="1:10">
      <c r="A846" s="18">
        <f t="shared" si="31"/>
        <v>43605</v>
      </c>
      <c r="B846" s="19">
        <v>43605</v>
      </c>
      <c r="C846" s="95">
        <f t="shared" si="33"/>
        <v>5.1799999999999999E-2</v>
      </c>
      <c r="E846" s="15" t="str">
        <f t="shared" si="32"/>
        <v>2Q2019</v>
      </c>
      <c r="F846" s="16">
        <f>+F845</f>
        <v>5.106666666666667E-2</v>
      </c>
      <c r="H846" s="12">
        <v>43586</v>
      </c>
      <c r="I846" s="28">
        <f>AVERAGE(C834:C845)</f>
        <v>4.8841666666666665E-2</v>
      </c>
      <c r="J846" s="103"/>
    </row>
    <row r="847" spans="1:10">
      <c r="A847" s="9">
        <f t="shared" si="31"/>
        <v>43636</v>
      </c>
      <c r="B847" s="10">
        <v>43636</v>
      </c>
      <c r="C847" s="95">
        <f t="shared" si="33"/>
        <v>5.1799999999999999E-2</v>
      </c>
      <c r="E847" s="15" t="str">
        <f t="shared" si="32"/>
        <v>2Q2019</v>
      </c>
      <c r="F847" s="16">
        <f>+F846</f>
        <v>5.106666666666667E-2</v>
      </c>
      <c r="H847" s="12">
        <v>43617</v>
      </c>
      <c r="I847" s="28">
        <f t="shared" si="27"/>
        <v>4.9433333333333329E-2</v>
      </c>
      <c r="J847" s="103"/>
    </row>
    <row r="848" spans="1:10">
      <c r="A848" s="9">
        <f t="shared" si="31"/>
        <v>43666</v>
      </c>
      <c r="B848" s="10">
        <v>43666</v>
      </c>
      <c r="C848" s="29" t="s">
        <v>229</v>
      </c>
      <c r="E848" s="15" t="str">
        <f t="shared" si="32"/>
        <v>3Q2019</v>
      </c>
      <c r="F848" s="16">
        <f>IF(COUNTIF(C844:C846,"&gt;0")&lt;3,"N/A",AVERAGE(C844:C846))</f>
        <v>5.1799999999999992E-2</v>
      </c>
      <c r="J848" s="46"/>
    </row>
    <row r="849" spans="1:10">
      <c r="A849" s="18">
        <f t="shared" si="31"/>
        <v>43697</v>
      </c>
      <c r="B849" s="19">
        <v>43697</v>
      </c>
      <c r="C849" s="29" t="s">
        <v>229</v>
      </c>
      <c r="E849" s="15" t="str">
        <f t="shared" si="32"/>
        <v>3Q2019</v>
      </c>
      <c r="F849" s="16">
        <f>+F848</f>
        <v>5.1799999999999992E-2</v>
      </c>
      <c r="J849" s="46"/>
    </row>
    <row r="850" spans="1:10">
      <c r="A850" s="9">
        <f t="shared" si="31"/>
        <v>43728</v>
      </c>
      <c r="B850" s="10">
        <v>43728</v>
      </c>
      <c r="C850" s="29" t="s">
        <v>229</v>
      </c>
      <c r="E850" s="15" t="str">
        <f t="shared" si="32"/>
        <v>3Q2019</v>
      </c>
      <c r="F850" s="16">
        <f>+F849</f>
        <v>5.1799999999999992E-2</v>
      </c>
      <c r="J850" s="46"/>
    </row>
    <row r="851" spans="1:10">
      <c r="A851" s="9">
        <f t="shared" si="31"/>
        <v>43758</v>
      </c>
      <c r="B851" s="10">
        <v>43758</v>
      </c>
      <c r="C851" s="29" t="s">
        <v>229</v>
      </c>
      <c r="E851" s="15" t="str">
        <f t="shared" si="32"/>
        <v>4Q2019</v>
      </c>
      <c r="F851" s="16" t="str">
        <f>IF(COUNTIF(C847:C849,"&gt;0")&lt;3,"N/A",AVERAGE(C847:C849))</f>
        <v>N/A</v>
      </c>
      <c r="J851" s="46"/>
    </row>
    <row r="852" spans="1:10">
      <c r="A852" s="18">
        <f t="shared" si="31"/>
        <v>43789</v>
      </c>
      <c r="B852" s="19">
        <v>43789</v>
      </c>
      <c r="C852" s="29" t="s">
        <v>229</v>
      </c>
      <c r="E852" s="15" t="str">
        <f t="shared" si="32"/>
        <v>4Q2019</v>
      </c>
      <c r="F852" s="16" t="str">
        <f>+F851</f>
        <v>N/A</v>
      </c>
      <c r="J852" s="46"/>
    </row>
    <row r="853" spans="1:10">
      <c r="A853" s="9">
        <f t="shared" si="31"/>
        <v>43819</v>
      </c>
      <c r="B853" s="10">
        <v>43819</v>
      </c>
      <c r="C853" s="29" t="s">
        <v>229</v>
      </c>
      <c r="E853" s="15" t="str">
        <f t="shared" si="32"/>
        <v>4Q2019</v>
      </c>
      <c r="F853" s="16" t="str">
        <f>+F852</f>
        <v>N/A</v>
      </c>
      <c r="J853" s="46"/>
    </row>
    <row r="854" spans="1:10">
      <c r="A854" s="9">
        <f t="shared" si="31"/>
        <v>43850</v>
      </c>
      <c r="B854" s="10">
        <v>43850</v>
      </c>
      <c r="C854" s="29" t="s">
        <v>229</v>
      </c>
      <c r="E854" s="15" t="str">
        <f t="shared" si="32"/>
        <v>1Q2020</v>
      </c>
      <c r="F854" s="16" t="str">
        <f>IF(COUNTIF(C850:C852,"&gt;0")&lt;3,"N/A",AVERAGE(C850:C852))</f>
        <v>N/A</v>
      </c>
      <c r="J854" s="46"/>
    </row>
    <row r="855" spans="1:10">
      <c r="A855" s="18">
        <f t="shared" si="31"/>
        <v>43881</v>
      </c>
      <c r="B855" s="19">
        <v>43881</v>
      </c>
      <c r="C855" s="25" t="s">
        <v>229</v>
      </c>
      <c r="E855" s="15" t="str">
        <f t="shared" si="32"/>
        <v>1Q2020</v>
      </c>
      <c r="F855" s="16" t="str">
        <f>+F854</f>
        <v>N/A</v>
      </c>
      <c r="J855" s="46"/>
    </row>
    <row r="856" spans="1:10">
      <c r="A856" s="9">
        <f t="shared" si="31"/>
        <v>43910</v>
      </c>
      <c r="B856" s="10">
        <v>43910</v>
      </c>
      <c r="C856" s="25" t="s">
        <v>229</v>
      </c>
      <c r="E856" s="15" t="str">
        <f t="shared" si="32"/>
        <v>1Q2020</v>
      </c>
      <c r="F856" s="16" t="str">
        <f>+F855</f>
        <v>N/A</v>
      </c>
      <c r="J856" s="46"/>
    </row>
    <row r="857" spans="1:10">
      <c r="A857" s="9">
        <f t="shared" si="31"/>
        <v>43941</v>
      </c>
      <c r="B857" s="10">
        <v>43941</v>
      </c>
      <c r="C857" s="25" t="s">
        <v>229</v>
      </c>
      <c r="E857" s="15" t="str">
        <f t="shared" si="32"/>
        <v>2Q2020</v>
      </c>
      <c r="F857" s="16" t="str">
        <f>IF(COUNTIF(C853:C855,"&gt;0")&lt;3,"N/A",AVERAGE(C853:C855))</f>
        <v>N/A</v>
      </c>
      <c r="J857" s="46"/>
    </row>
    <row r="858" spans="1:10">
      <c r="A858" s="18">
        <f t="shared" si="31"/>
        <v>43971</v>
      </c>
      <c r="B858" s="19">
        <v>43971</v>
      </c>
      <c r="C858" s="25" t="s">
        <v>229</v>
      </c>
      <c r="E858" s="15" t="str">
        <f t="shared" si="32"/>
        <v>2Q2020</v>
      </c>
      <c r="F858" s="16" t="str">
        <f>+F857</f>
        <v>N/A</v>
      </c>
      <c r="J858" s="46"/>
    </row>
    <row r="859" spans="1:10">
      <c r="A859" s="9">
        <f t="shared" si="31"/>
        <v>44002</v>
      </c>
      <c r="B859" s="10">
        <v>44002</v>
      </c>
      <c r="C859" s="25" t="s">
        <v>229</v>
      </c>
      <c r="E859" s="15" t="str">
        <f t="shared" si="32"/>
        <v>2Q2020</v>
      </c>
      <c r="F859" s="16" t="str">
        <f>+F858</f>
        <v>N/A</v>
      </c>
      <c r="J859" s="46"/>
    </row>
    <row r="860" spans="1:10">
      <c r="A860" s="9">
        <f t="shared" si="31"/>
        <v>44032</v>
      </c>
      <c r="B860" s="10">
        <v>44032</v>
      </c>
      <c r="C860" s="25" t="s">
        <v>229</v>
      </c>
      <c r="E860" s="15" t="str">
        <f t="shared" si="32"/>
        <v>3Q2020</v>
      </c>
      <c r="F860" s="16" t="str">
        <f>IF(COUNTIF(C856:C858,"&gt;0")&lt;3,"N/A",AVERAGE(C856:C858))</f>
        <v>N/A</v>
      </c>
      <c r="J860" s="46"/>
    </row>
    <row r="861" spans="1:10">
      <c r="A861" s="18">
        <f t="shared" si="31"/>
        <v>44063</v>
      </c>
      <c r="B861" s="19">
        <v>44063</v>
      </c>
      <c r="C861" s="25" t="s">
        <v>229</v>
      </c>
      <c r="E861" s="15" t="str">
        <f t="shared" si="32"/>
        <v>3Q2020</v>
      </c>
      <c r="F861" s="16" t="str">
        <f>+F860</f>
        <v>N/A</v>
      </c>
      <c r="J861" s="46"/>
    </row>
    <row r="862" spans="1:10">
      <c r="A862" s="9">
        <f t="shared" si="31"/>
        <v>44094</v>
      </c>
      <c r="B862" s="10">
        <v>44094</v>
      </c>
      <c r="C862" s="25" t="s">
        <v>229</v>
      </c>
      <c r="E862" s="15" t="str">
        <f t="shared" si="32"/>
        <v>3Q2020</v>
      </c>
      <c r="F862" s="16" t="str">
        <f>+F861</f>
        <v>N/A</v>
      </c>
      <c r="J862" s="46"/>
    </row>
    <row r="863" spans="1:10">
      <c r="A863" s="9">
        <f t="shared" si="31"/>
        <v>44124</v>
      </c>
      <c r="B863" s="10">
        <v>44124</v>
      </c>
      <c r="C863" s="25" t="s">
        <v>229</v>
      </c>
      <c r="E863" s="15" t="str">
        <f t="shared" si="32"/>
        <v>4Q2020</v>
      </c>
      <c r="F863" s="16" t="str">
        <f>IF(COUNTIF(C859:C861,"&gt;0")&lt;3,"N/A",AVERAGE(C859:C861))</f>
        <v>N/A</v>
      </c>
      <c r="J863" s="46"/>
    </row>
    <row r="864" spans="1:10">
      <c r="A864" s="18">
        <f t="shared" si="31"/>
        <v>44155</v>
      </c>
      <c r="B864" s="19">
        <v>44155</v>
      </c>
      <c r="C864" s="25" t="s">
        <v>229</v>
      </c>
      <c r="E864" s="15" t="str">
        <f t="shared" si="32"/>
        <v>4Q2020</v>
      </c>
      <c r="F864" s="16" t="str">
        <f>+F863</f>
        <v>N/A</v>
      </c>
      <c r="J864" s="46"/>
    </row>
    <row r="865" spans="1:10">
      <c r="A865" s="9">
        <f t="shared" si="31"/>
        <v>44185</v>
      </c>
      <c r="B865" s="10">
        <v>44185</v>
      </c>
      <c r="C865" s="25" t="s">
        <v>229</v>
      </c>
      <c r="E865" s="15" t="str">
        <f t="shared" si="32"/>
        <v>4Q2020</v>
      </c>
      <c r="F865" s="16" t="str">
        <f>+F864</f>
        <v>N/A</v>
      </c>
      <c r="J865" s="46"/>
    </row>
    <row r="866" spans="1:10">
      <c r="A866" s="9">
        <f t="shared" si="31"/>
        <v>44216</v>
      </c>
      <c r="B866" s="10">
        <v>44216</v>
      </c>
      <c r="C866" s="25" t="s">
        <v>229</v>
      </c>
      <c r="E866" s="15" t="str">
        <f t="shared" si="32"/>
        <v>1Q2021</v>
      </c>
      <c r="F866" s="16" t="str">
        <f>IF(COUNTIF(C862:C864,"&gt;0")&lt;3,"N/A",AVERAGE(C862:C864))</f>
        <v>N/A</v>
      </c>
    </row>
    <row r="867" spans="1:10">
      <c r="A867" s="18">
        <f t="shared" si="31"/>
        <v>44247</v>
      </c>
      <c r="B867" s="19">
        <v>44247</v>
      </c>
      <c r="C867" s="25" t="s">
        <v>229</v>
      </c>
      <c r="E867" s="15" t="str">
        <f t="shared" si="32"/>
        <v>1Q2021</v>
      </c>
      <c r="F867" s="16" t="str">
        <f>+F866</f>
        <v>N/A</v>
      </c>
    </row>
    <row r="868" spans="1:10">
      <c r="A868" s="9">
        <f t="shared" si="31"/>
        <v>44275</v>
      </c>
      <c r="B868" s="10">
        <v>44275</v>
      </c>
      <c r="C868" s="25" t="s">
        <v>229</v>
      </c>
      <c r="E868" s="15" t="str">
        <f t="shared" si="32"/>
        <v>1Q2021</v>
      </c>
      <c r="F868" s="16" t="str">
        <f>+F867</f>
        <v>N/A</v>
      </c>
    </row>
    <row r="869" spans="1:10">
      <c r="A869" s="9">
        <f t="shared" si="31"/>
        <v>44306</v>
      </c>
      <c r="B869" s="10">
        <v>44306</v>
      </c>
      <c r="C869" s="25" t="s">
        <v>229</v>
      </c>
      <c r="E869" s="15" t="str">
        <f t="shared" si="32"/>
        <v>2Q2021</v>
      </c>
      <c r="F869" s="16" t="str">
        <f>IF(COUNTIF(C865:C867,"&gt;0")&lt;3,"N/A",AVERAGE(C865:C867))</f>
        <v>N/A</v>
      </c>
    </row>
    <row r="870" spans="1:10">
      <c r="A870" s="18">
        <f t="shared" si="31"/>
        <v>44336</v>
      </c>
      <c r="B870" s="19">
        <v>44336</v>
      </c>
      <c r="C870" s="25" t="s">
        <v>229</v>
      </c>
      <c r="E870" s="15" t="str">
        <f t="shared" si="32"/>
        <v>2Q2021</v>
      </c>
      <c r="F870" s="16" t="str">
        <f>+F869</f>
        <v>N/A</v>
      </c>
    </row>
    <row r="871" spans="1:10">
      <c r="A871" s="9">
        <f t="shared" si="31"/>
        <v>44367</v>
      </c>
      <c r="B871" s="10">
        <v>44367</v>
      </c>
      <c r="C871" s="25" t="s">
        <v>229</v>
      </c>
      <c r="E871" s="15" t="str">
        <f t="shared" si="32"/>
        <v>2Q2021</v>
      </c>
      <c r="F871" s="16" t="str">
        <f>+F870</f>
        <v>N/A</v>
      </c>
    </row>
    <row r="872" spans="1:10">
      <c r="A872" s="9">
        <f t="shared" si="31"/>
        <v>44397</v>
      </c>
      <c r="B872" s="10">
        <v>44397</v>
      </c>
      <c r="C872" s="25" t="s">
        <v>229</v>
      </c>
      <c r="E872" s="15" t="str">
        <f t="shared" si="32"/>
        <v>3Q2021</v>
      </c>
      <c r="F872" s="16" t="str">
        <f>IF(COUNTIF(C868:C870,"&gt;0")&lt;3,"N/A",AVERAGE(C868:C870))</f>
        <v>N/A</v>
      </c>
    </row>
    <row r="873" spans="1:10">
      <c r="A873" s="18">
        <f t="shared" si="31"/>
        <v>44428</v>
      </c>
      <c r="B873" s="19">
        <v>44428</v>
      </c>
      <c r="C873" s="25" t="s">
        <v>229</v>
      </c>
      <c r="E873" s="15" t="str">
        <f t="shared" si="32"/>
        <v>3Q2021</v>
      </c>
      <c r="F873" s="16" t="str">
        <f>+F872</f>
        <v>N/A</v>
      </c>
    </row>
    <row r="874" spans="1:10">
      <c r="A874" s="9">
        <f t="shared" si="31"/>
        <v>44459</v>
      </c>
      <c r="B874" s="10">
        <v>44459</v>
      </c>
      <c r="C874" s="25" t="s">
        <v>229</v>
      </c>
      <c r="E874" s="15" t="str">
        <f t="shared" si="32"/>
        <v>3Q2021</v>
      </c>
      <c r="F874" s="16" t="str">
        <f>+F873</f>
        <v>N/A</v>
      </c>
    </row>
    <row r="875" spans="1:10">
      <c r="A875" s="9">
        <f t="shared" si="31"/>
        <v>44489</v>
      </c>
      <c r="B875" s="10">
        <v>44489</v>
      </c>
      <c r="C875" s="25" t="s">
        <v>229</v>
      </c>
      <c r="E875" s="15" t="str">
        <f t="shared" si="32"/>
        <v>4Q2021</v>
      </c>
      <c r="F875" s="16" t="str">
        <f>IF(COUNTIF(C871:C873,"&gt;0")&lt;3,"N/A",AVERAGE(C871:C873))</f>
        <v>N/A</v>
      </c>
    </row>
    <row r="876" spans="1:10">
      <c r="A876" s="18">
        <f t="shared" si="31"/>
        <v>44520</v>
      </c>
      <c r="B876" s="19">
        <v>44520</v>
      </c>
      <c r="C876" s="25" t="s">
        <v>229</v>
      </c>
      <c r="E876" s="15" t="str">
        <f t="shared" si="32"/>
        <v>4Q2021</v>
      </c>
      <c r="F876" s="16" t="str">
        <f>+F875</f>
        <v>N/A</v>
      </c>
    </row>
    <row r="877" spans="1:10">
      <c r="A877" s="9">
        <f t="shared" si="31"/>
        <v>44550</v>
      </c>
      <c r="B877" s="10">
        <v>44550</v>
      </c>
      <c r="C877" s="25" t="s">
        <v>229</v>
      </c>
      <c r="E877" s="15" t="str">
        <f t="shared" si="32"/>
        <v>4Q2021</v>
      </c>
      <c r="F877" s="16" t="str">
        <f>+F876</f>
        <v>N/A</v>
      </c>
    </row>
    <row r="878" spans="1:10">
      <c r="A878" s="9">
        <f t="shared" si="31"/>
        <v>44581</v>
      </c>
      <c r="B878" s="10">
        <v>44581</v>
      </c>
      <c r="C878" s="25" t="s">
        <v>229</v>
      </c>
      <c r="E878" s="15" t="str">
        <f t="shared" si="32"/>
        <v>1Q2022</v>
      </c>
      <c r="F878" s="16" t="str">
        <f>IF(COUNTIF(C874:C876,"&gt;0")&lt;3,"N/A",AVERAGE(C874:C876))</f>
        <v>N/A</v>
      </c>
    </row>
    <row r="879" spans="1:10">
      <c r="A879" s="18">
        <f t="shared" si="31"/>
        <v>44612</v>
      </c>
      <c r="B879" s="19">
        <v>44612</v>
      </c>
      <c r="C879" s="25" t="s">
        <v>229</v>
      </c>
      <c r="E879" s="15" t="str">
        <f t="shared" si="32"/>
        <v>1Q2022</v>
      </c>
      <c r="F879" s="16" t="str">
        <f>+F878</f>
        <v>N/A</v>
      </c>
    </row>
    <row r="880" spans="1:10">
      <c r="A880" s="9">
        <f t="shared" si="31"/>
        <v>44640</v>
      </c>
      <c r="B880" s="10">
        <v>44640</v>
      </c>
      <c r="C880" s="25" t="s">
        <v>229</v>
      </c>
      <c r="E880" s="15" t="str">
        <f t="shared" si="32"/>
        <v>1Q2022</v>
      </c>
      <c r="F880" s="16" t="str">
        <f>+F879</f>
        <v>N/A</v>
      </c>
    </row>
    <row r="881" spans="1:6">
      <c r="A881" s="9">
        <f t="shared" si="31"/>
        <v>44671</v>
      </c>
      <c r="B881" s="10">
        <v>44671</v>
      </c>
      <c r="C881" s="25" t="s">
        <v>229</v>
      </c>
      <c r="E881" s="15" t="str">
        <f t="shared" si="32"/>
        <v>2Q2022</v>
      </c>
      <c r="F881" s="16" t="str">
        <f>IF(COUNTIF(C877:C879,"&gt;0")&lt;3,"N/A",AVERAGE(C877:C879))</f>
        <v>N/A</v>
      </c>
    </row>
    <row r="882" spans="1:6">
      <c r="A882" s="18">
        <f t="shared" si="31"/>
        <v>44701</v>
      </c>
      <c r="B882" s="19">
        <v>44701</v>
      </c>
      <c r="C882" s="25" t="s">
        <v>229</v>
      </c>
      <c r="E882" s="15" t="str">
        <f t="shared" si="32"/>
        <v>2Q2022</v>
      </c>
      <c r="F882" s="16" t="str">
        <f>+F881</f>
        <v>N/A</v>
      </c>
    </row>
    <row r="883" spans="1:6">
      <c r="A883" s="9">
        <f t="shared" si="31"/>
        <v>44732</v>
      </c>
      <c r="B883" s="10">
        <v>44732</v>
      </c>
      <c r="C883" s="25" t="s">
        <v>229</v>
      </c>
      <c r="E883" s="15" t="str">
        <f t="shared" si="32"/>
        <v>2Q2022</v>
      </c>
      <c r="F883" s="16" t="str">
        <f>+F882</f>
        <v>N/A</v>
      </c>
    </row>
    <row r="884" spans="1:6">
      <c r="A884" s="9">
        <f t="shared" si="31"/>
        <v>44762</v>
      </c>
      <c r="B884" s="10">
        <v>44762</v>
      </c>
      <c r="C884" s="25" t="s">
        <v>229</v>
      </c>
      <c r="E884" s="15" t="str">
        <f t="shared" si="32"/>
        <v>3Q2022</v>
      </c>
      <c r="F884" s="16" t="str">
        <f>IF(COUNTIF(C880:C882,"&gt;0")&lt;3,"N/A",AVERAGE(C880:C882))</f>
        <v>N/A</v>
      </c>
    </row>
    <row r="885" spans="1:6">
      <c r="A885" s="18">
        <f t="shared" si="31"/>
        <v>44793</v>
      </c>
      <c r="B885" s="19">
        <v>44793</v>
      </c>
      <c r="C885" s="25" t="s">
        <v>229</v>
      </c>
      <c r="E885" s="15" t="str">
        <f t="shared" si="32"/>
        <v>3Q2022</v>
      </c>
      <c r="F885" s="16" t="str">
        <f>+F884</f>
        <v>N/A</v>
      </c>
    </row>
    <row r="886" spans="1:6">
      <c r="A886" s="9">
        <f t="shared" si="31"/>
        <v>44824</v>
      </c>
      <c r="B886" s="10">
        <v>44824</v>
      </c>
      <c r="C886" s="25" t="s">
        <v>229</v>
      </c>
      <c r="E886" s="15" t="str">
        <f t="shared" si="32"/>
        <v>3Q2022</v>
      </c>
      <c r="F886" s="16" t="str">
        <f>+F885</f>
        <v>N/A</v>
      </c>
    </row>
    <row r="887" spans="1:6">
      <c r="A887" s="9">
        <f t="shared" si="31"/>
        <v>44854</v>
      </c>
      <c r="B887" s="10">
        <v>44854</v>
      </c>
      <c r="C887" s="25" t="s">
        <v>229</v>
      </c>
      <c r="E887" s="15" t="str">
        <f t="shared" si="32"/>
        <v>4Q2022</v>
      </c>
      <c r="F887" s="16" t="str">
        <f>IF(COUNTIF(C883:C885,"&gt;0")&lt;3,"N/A",AVERAGE(C883:C885))</f>
        <v>N/A</v>
      </c>
    </row>
    <row r="888" spans="1:6">
      <c r="A888" s="18">
        <f t="shared" si="31"/>
        <v>44885</v>
      </c>
      <c r="B888" s="19">
        <v>44885</v>
      </c>
      <c r="C888" s="25" t="s">
        <v>229</v>
      </c>
      <c r="E888" s="15" t="str">
        <f t="shared" si="32"/>
        <v>4Q2022</v>
      </c>
      <c r="F888" s="16" t="str">
        <f>+F887</f>
        <v>N/A</v>
      </c>
    </row>
    <row r="889" spans="1:6">
      <c r="A889" s="9">
        <f t="shared" si="31"/>
        <v>44915</v>
      </c>
      <c r="B889" s="10">
        <v>44915</v>
      </c>
      <c r="C889" s="25" t="s">
        <v>229</v>
      </c>
      <c r="E889" s="15" t="str">
        <f t="shared" si="32"/>
        <v>4Q2022</v>
      </c>
      <c r="F889" s="16" t="str">
        <f>+F888</f>
        <v>N/A</v>
      </c>
    </row>
    <row r="890" spans="1:6">
      <c r="A890" s="9">
        <f t="shared" si="31"/>
        <v>44946</v>
      </c>
      <c r="B890" s="10">
        <v>44946</v>
      </c>
      <c r="C890" s="25" t="s">
        <v>229</v>
      </c>
      <c r="E890" s="15" t="str">
        <f t="shared" si="32"/>
        <v>1Q2023</v>
      </c>
      <c r="F890" s="16" t="str">
        <f>IF(COUNTIF(C886:C888,"&gt;0")&lt;3,"N/A",AVERAGE(C886:C888))</f>
        <v>N/A</v>
      </c>
    </row>
    <row r="891" spans="1:6">
      <c r="A891" s="18">
        <f t="shared" si="31"/>
        <v>44977</v>
      </c>
      <c r="B891" s="19">
        <v>44977</v>
      </c>
      <c r="C891" s="25" t="s">
        <v>229</v>
      </c>
      <c r="E891" s="15" t="str">
        <f t="shared" si="32"/>
        <v>1Q2023</v>
      </c>
      <c r="F891" s="16" t="str">
        <f>+F890</f>
        <v>N/A</v>
      </c>
    </row>
    <row r="892" spans="1:6">
      <c r="A892" s="9">
        <f t="shared" si="31"/>
        <v>45005</v>
      </c>
      <c r="B892" s="10">
        <v>45005</v>
      </c>
      <c r="C892" s="25" t="s">
        <v>229</v>
      </c>
      <c r="E892" s="15" t="str">
        <f t="shared" si="32"/>
        <v>1Q2023</v>
      </c>
      <c r="F892" s="16" t="str">
        <f>+F891</f>
        <v>N/A</v>
      </c>
    </row>
    <row r="893" spans="1:6">
      <c r="A893" s="9">
        <f t="shared" si="31"/>
        <v>45036</v>
      </c>
      <c r="B893" s="10">
        <v>45036</v>
      </c>
      <c r="C893" s="25" t="s">
        <v>229</v>
      </c>
      <c r="E893" s="15" t="str">
        <f t="shared" si="32"/>
        <v>2Q2023</v>
      </c>
      <c r="F893" s="16" t="str">
        <f>IF(COUNTIF(C889:C891,"&gt;0")&lt;3,"N/A",AVERAGE(C889:C891))</f>
        <v>N/A</v>
      </c>
    </row>
    <row r="894" spans="1:6">
      <c r="A894" s="18">
        <f t="shared" si="31"/>
        <v>45066</v>
      </c>
      <c r="B894" s="19">
        <v>45066</v>
      </c>
      <c r="C894" s="25" t="s">
        <v>229</v>
      </c>
      <c r="E894" s="15" t="str">
        <f t="shared" si="32"/>
        <v>2Q2023</v>
      </c>
      <c r="F894" s="16" t="str">
        <f>+F893</f>
        <v>N/A</v>
      </c>
    </row>
    <row r="895" spans="1:6">
      <c r="A895" s="9">
        <f t="shared" si="31"/>
        <v>45097</v>
      </c>
      <c r="B895" s="10">
        <v>45097</v>
      </c>
      <c r="C895" s="25" t="s">
        <v>229</v>
      </c>
      <c r="E895" s="15" t="str">
        <f t="shared" si="32"/>
        <v>2Q2023</v>
      </c>
      <c r="F895" s="16" t="str">
        <f>+F894</f>
        <v>N/A</v>
      </c>
    </row>
    <row r="896" spans="1:6">
      <c r="A896" s="9">
        <f t="shared" si="31"/>
        <v>45127</v>
      </c>
      <c r="B896" s="10">
        <v>45127</v>
      </c>
      <c r="C896" s="25" t="s">
        <v>229</v>
      </c>
      <c r="E896" s="15" t="str">
        <f t="shared" si="32"/>
        <v>3Q2023</v>
      </c>
      <c r="F896" s="16" t="str">
        <f>IF(COUNTIF(C892:C894,"&gt;0")&lt;3,"N/A",AVERAGE(C892:C894))</f>
        <v>N/A</v>
      </c>
    </row>
    <row r="897" spans="1:6">
      <c r="A897" s="18">
        <f t="shared" si="31"/>
        <v>45158</v>
      </c>
      <c r="B897" s="19">
        <v>45158</v>
      </c>
      <c r="C897" s="25" t="s">
        <v>229</v>
      </c>
      <c r="E897" s="15" t="str">
        <f t="shared" si="32"/>
        <v>3Q2023</v>
      </c>
      <c r="F897" s="16" t="str">
        <f>+F896</f>
        <v>N/A</v>
      </c>
    </row>
    <row r="898" spans="1:6">
      <c r="A898" s="9">
        <f t="shared" si="31"/>
        <v>45189</v>
      </c>
      <c r="B898" s="10">
        <v>45189</v>
      </c>
      <c r="C898" s="25" t="s">
        <v>229</v>
      </c>
      <c r="E898" s="15" t="str">
        <f t="shared" si="32"/>
        <v>3Q2023</v>
      </c>
      <c r="F898" s="16" t="str">
        <f>+F897</f>
        <v>N/A</v>
      </c>
    </row>
    <row r="899" spans="1:6">
      <c r="A899" s="9">
        <f t="shared" si="31"/>
        <v>45219</v>
      </c>
      <c r="B899" s="10">
        <v>45219</v>
      </c>
      <c r="C899" s="25" t="s">
        <v>229</v>
      </c>
      <c r="E899" s="15" t="str">
        <f t="shared" si="32"/>
        <v>4Q2023</v>
      </c>
      <c r="F899" s="16" t="str">
        <f>IF(COUNTIF(C895:C897,"&gt;0")&lt;3,"N/A",AVERAGE(C895:C897))</f>
        <v>N/A</v>
      </c>
    </row>
    <row r="900" spans="1:6">
      <c r="A900" s="18">
        <f t="shared" si="31"/>
        <v>45250</v>
      </c>
      <c r="B900" s="19">
        <v>45250</v>
      </c>
      <c r="C900" s="25" t="s">
        <v>229</v>
      </c>
      <c r="E900" s="15" t="str">
        <f t="shared" si="32"/>
        <v>4Q2023</v>
      </c>
      <c r="F900" s="16" t="str">
        <f>+F899</f>
        <v>N/A</v>
      </c>
    </row>
    <row r="901" spans="1:6">
      <c r="A901" s="9">
        <f t="shared" ref="A901:A964" si="34">+B901</f>
        <v>45280</v>
      </c>
      <c r="B901" s="10">
        <v>45280</v>
      </c>
      <c r="C901" s="25" t="s">
        <v>229</v>
      </c>
      <c r="E901" s="15" t="str">
        <f t="shared" si="32"/>
        <v>4Q2023</v>
      </c>
      <c r="F901" s="16" t="str">
        <f>+F900</f>
        <v>N/A</v>
      </c>
    </row>
    <row r="902" spans="1:6">
      <c r="A902" s="9">
        <f t="shared" si="34"/>
        <v>45311</v>
      </c>
      <c r="B902" s="10">
        <v>45311</v>
      </c>
      <c r="C902" s="25" t="s">
        <v>229</v>
      </c>
      <c r="E902" s="15" t="str">
        <f t="shared" si="32"/>
        <v>1Q2024</v>
      </c>
      <c r="F902" s="16" t="str">
        <f>IF(COUNTIF(C898:C900,"&gt;0")&lt;3,"N/A",AVERAGE(C898:C900))</f>
        <v>N/A</v>
      </c>
    </row>
    <row r="903" spans="1:6">
      <c r="A903" s="18">
        <f t="shared" si="34"/>
        <v>45342</v>
      </c>
      <c r="B903" s="19">
        <v>45342</v>
      </c>
      <c r="C903" s="25" t="s">
        <v>229</v>
      </c>
      <c r="E903" s="15" t="str">
        <f t="shared" si="32"/>
        <v>1Q2024</v>
      </c>
      <c r="F903" s="16" t="str">
        <f>+F902</f>
        <v>N/A</v>
      </c>
    </row>
    <row r="904" spans="1:6">
      <c r="A904" s="9">
        <f t="shared" si="34"/>
        <v>45371</v>
      </c>
      <c r="B904" s="10">
        <v>45371</v>
      </c>
      <c r="C904" s="25" t="s">
        <v>229</v>
      </c>
      <c r="E904" s="15" t="str">
        <f t="shared" si="32"/>
        <v>1Q2024</v>
      </c>
      <c r="F904" s="16" t="str">
        <f>+F903</f>
        <v>N/A</v>
      </c>
    </row>
    <row r="905" spans="1:6">
      <c r="A905" s="9">
        <f t="shared" si="34"/>
        <v>45402</v>
      </c>
      <c r="B905" s="10">
        <v>45402</v>
      </c>
      <c r="C905" s="25" t="s">
        <v>229</v>
      </c>
      <c r="E905" s="15" t="str">
        <f t="shared" si="32"/>
        <v>2Q2024</v>
      </c>
      <c r="F905" s="16" t="str">
        <f>IF(COUNTIF(C901:C903,"&gt;0")&lt;3,"N/A",AVERAGE(C901:C903))</f>
        <v>N/A</v>
      </c>
    </row>
    <row r="906" spans="1:6">
      <c r="A906" s="18">
        <f t="shared" si="34"/>
        <v>45432</v>
      </c>
      <c r="B906" s="19">
        <v>45432</v>
      </c>
      <c r="C906" s="25" t="s">
        <v>229</v>
      </c>
      <c r="E906" s="15" t="str">
        <f t="shared" si="32"/>
        <v>2Q2024</v>
      </c>
      <c r="F906" s="16" t="str">
        <f>+F905</f>
        <v>N/A</v>
      </c>
    </row>
    <row r="907" spans="1:6">
      <c r="A907" s="9">
        <f t="shared" si="34"/>
        <v>45463</v>
      </c>
      <c r="B907" s="10">
        <v>45463</v>
      </c>
      <c r="C907" s="25" t="s">
        <v>229</v>
      </c>
      <c r="E907" s="15" t="str">
        <f t="shared" ref="E907:E970" si="35">IF(MONTH(B907)&lt;4,"1",IF(MONTH(B907)&lt;7,"2",IF(MONTH(B907)&lt;10,"3","4")))&amp;"Q"&amp;YEAR(B907)</f>
        <v>2Q2024</v>
      </c>
      <c r="F907" s="16" t="str">
        <f>+F906</f>
        <v>N/A</v>
      </c>
    </row>
    <row r="908" spans="1:6">
      <c r="A908" s="9">
        <f t="shared" si="34"/>
        <v>45493</v>
      </c>
      <c r="B908" s="10">
        <v>45493</v>
      </c>
      <c r="C908" s="25" t="s">
        <v>229</v>
      </c>
      <c r="E908" s="15" t="str">
        <f t="shared" si="35"/>
        <v>3Q2024</v>
      </c>
      <c r="F908" s="16" t="str">
        <f>IF(COUNTIF(C904:C906,"&gt;0")&lt;3,"N/A",AVERAGE(C904:C906))</f>
        <v>N/A</v>
      </c>
    </row>
    <row r="909" spans="1:6">
      <c r="A909" s="18">
        <f t="shared" si="34"/>
        <v>45524</v>
      </c>
      <c r="B909" s="19">
        <v>45524</v>
      </c>
      <c r="C909" s="25" t="s">
        <v>229</v>
      </c>
      <c r="E909" s="15" t="str">
        <f t="shared" si="35"/>
        <v>3Q2024</v>
      </c>
      <c r="F909" s="16" t="str">
        <f>+F908</f>
        <v>N/A</v>
      </c>
    </row>
    <row r="910" spans="1:6">
      <c r="A910" s="9">
        <f t="shared" si="34"/>
        <v>45555</v>
      </c>
      <c r="B910" s="10">
        <v>45555</v>
      </c>
      <c r="C910" s="25" t="s">
        <v>229</v>
      </c>
      <c r="E910" s="15" t="str">
        <f t="shared" si="35"/>
        <v>3Q2024</v>
      </c>
      <c r="F910" s="16" t="str">
        <f>+F909</f>
        <v>N/A</v>
      </c>
    </row>
    <row r="911" spans="1:6">
      <c r="A911" s="9">
        <f t="shared" si="34"/>
        <v>45585</v>
      </c>
      <c r="B911" s="10">
        <v>45585</v>
      </c>
      <c r="C911" s="25" t="s">
        <v>229</v>
      </c>
      <c r="E911" s="15" t="str">
        <f t="shared" si="35"/>
        <v>4Q2024</v>
      </c>
      <c r="F911" s="16" t="str">
        <f>IF(COUNTIF(C907:C909,"&gt;0")&lt;3,"N/A",AVERAGE(C907:C909))</f>
        <v>N/A</v>
      </c>
    </row>
    <row r="912" spans="1:6">
      <c r="A912" s="18">
        <f t="shared" si="34"/>
        <v>45616</v>
      </c>
      <c r="B912" s="19">
        <v>45616</v>
      </c>
      <c r="C912" s="25" t="s">
        <v>229</v>
      </c>
      <c r="E912" s="15" t="str">
        <f t="shared" si="35"/>
        <v>4Q2024</v>
      </c>
      <c r="F912" s="16" t="str">
        <f>+F911</f>
        <v>N/A</v>
      </c>
    </row>
    <row r="913" spans="1:6">
      <c r="A913" s="9">
        <f t="shared" si="34"/>
        <v>45646</v>
      </c>
      <c r="B913" s="10">
        <v>45646</v>
      </c>
      <c r="C913" s="25" t="s">
        <v>229</v>
      </c>
      <c r="E913" s="15" t="str">
        <f t="shared" si="35"/>
        <v>4Q2024</v>
      </c>
      <c r="F913" s="16" t="str">
        <f>+F912</f>
        <v>N/A</v>
      </c>
    </row>
    <row r="914" spans="1:6">
      <c r="A914" s="9">
        <f t="shared" si="34"/>
        <v>45677</v>
      </c>
      <c r="B914" s="10">
        <v>45677</v>
      </c>
      <c r="C914" s="25" t="s">
        <v>229</v>
      </c>
      <c r="E914" s="15" t="str">
        <f t="shared" si="35"/>
        <v>1Q2025</v>
      </c>
      <c r="F914" s="16" t="str">
        <f>IF(COUNTIF(C910:C912,"&gt;0")&lt;3,"N/A",AVERAGE(C910:C912))</f>
        <v>N/A</v>
      </c>
    </row>
    <row r="915" spans="1:6">
      <c r="A915" s="18">
        <f t="shared" si="34"/>
        <v>45708</v>
      </c>
      <c r="B915" s="19">
        <v>45708</v>
      </c>
      <c r="C915" s="25" t="s">
        <v>229</v>
      </c>
      <c r="E915" s="15" t="str">
        <f t="shared" si="35"/>
        <v>1Q2025</v>
      </c>
      <c r="F915" s="16" t="str">
        <f>+F914</f>
        <v>N/A</v>
      </c>
    </row>
    <row r="916" spans="1:6">
      <c r="A916" s="9">
        <f t="shared" si="34"/>
        <v>45736</v>
      </c>
      <c r="B916" s="10">
        <v>45736</v>
      </c>
      <c r="C916" s="25" t="s">
        <v>229</v>
      </c>
      <c r="E916" s="15" t="str">
        <f t="shared" si="35"/>
        <v>1Q2025</v>
      </c>
      <c r="F916" s="16" t="str">
        <f>+F915</f>
        <v>N/A</v>
      </c>
    </row>
    <row r="917" spans="1:6">
      <c r="A917" s="9">
        <f t="shared" si="34"/>
        <v>45767</v>
      </c>
      <c r="B917" s="10">
        <v>45767</v>
      </c>
      <c r="C917" s="25" t="s">
        <v>229</v>
      </c>
      <c r="E917" s="15" t="str">
        <f t="shared" si="35"/>
        <v>2Q2025</v>
      </c>
      <c r="F917" s="16" t="str">
        <f>IF(COUNTIF(C913:C915,"&gt;0")&lt;3,"N/A",AVERAGE(C913:C915))</f>
        <v>N/A</v>
      </c>
    </row>
    <row r="918" spans="1:6">
      <c r="A918" s="18">
        <f t="shared" si="34"/>
        <v>45797</v>
      </c>
      <c r="B918" s="19">
        <v>45797</v>
      </c>
      <c r="C918" s="25" t="s">
        <v>229</v>
      </c>
      <c r="E918" s="15" t="str">
        <f t="shared" si="35"/>
        <v>2Q2025</v>
      </c>
      <c r="F918" s="16" t="str">
        <f>+F917</f>
        <v>N/A</v>
      </c>
    </row>
    <row r="919" spans="1:6">
      <c r="A919" s="9">
        <f t="shared" si="34"/>
        <v>45828</v>
      </c>
      <c r="B919" s="10">
        <v>45828</v>
      </c>
      <c r="C919" s="25" t="s">
        <v>229</v>
      </c>
      <c r="E919" s="15" t="str">
        <f t="shared" si="35"/>
        <v>2Q2025</v>
      </c>
      <c r="F919" s="16" t="str">
        <f>+F918</f>
        <v>N/A</v>
      </c>
    </row>
    <row r="920" spans="1:6">
      <c r="A920" s="9">
        <f t="shared" si="34"/>
        <v>45858</v>
      </c>
      <c r="B920" s="10">
        <v>45858</v>
      </c>
      <c r="C920" s="25" t="s">
        <v>229</v>
      </c>
      <c r="E920" s="15" t="str">
        <f t="shared" si="35"/>
        <v>3Q2025</v>
      </c>
      <c r="F920" s="16" t="str">
        <f>IF(COUNTIF(C916:C918,"&gt;0")&lt;3,"N/A",AVERAGE(C916:C918))</f>
        <v>N/A</v>
      </c>
    </row>
    <row r="921" spans="1:6">
      <c r="A921" s="18">
        <f t="shared" si="34"/>
        <v>45889</v>
      </c>
      <c r="B921" s="19">
        <v>45889</v>
      </c>
      <c r="C921" s="25" t="s">
        <v>229</v>
      </c>
      <c r="E921" s="15" t="str">
        <f t="shared" si="35"/>
        <v>3Q2025</v>
      </c>
      <c r="F921" s="16" t="str">
        <f>+F920</f>
        <v>N/A</v>
      </c>
    </row>
    <row r="922" spans="1:6">
      <c r="A922" s="9">
        <f t="shared" si="34"/>
        <v>45920</v>
      </c>
      <c r="B922" s="10">
        <v>45920</v>
      </c>
      <c r="C922" s="25" t="s">
        <v>229</v>
      </c>
      <c r="E922" s="15" t="str">
        <f t="shared" si="35"/>
        <v>3Q2025</v>
      </c>
      <c r="F922" s="16" t="str">
        <f>+F921</f>
        <v>N/A</v>
      </c>
    </row>
    <row r="923" spans="1:6">
      <c r="A923" s="9">
        <f t="shared" si="34"/>
        <v>45950</v>
      </c>
      <c r="B923" s="10">
        <v>45950</v>
      </c>
      <c r="C923" s="25" t="s">
        <v>229</v>
      </c>
      <c r="E923" s="15" t="str">
        <f t="shared" si="35"/>
        <v>4Q2025</v>
      </c>
      <c r="F923" s="16" t="str">
        <f>IF(COUNTIF(C919:C921,"&gt;0")&lt;3,"N/A",AVERAGE(C919:C921))</f>
        <v>N/A</v>
      </c>
    </row>
    <row r="924" spans="1:6">
      <c r="A924" s="18">
        <f t="shared" si="34"/>
        <v>45981</v>
      </c>
      <c r="B924" s="19">
        <v>45981</v>
      </c>
      <c r="C924" s="25" t="s">
        <v>229</v>
      </c>
      <c r="E924" s="15" t="str">
        <f t="shared" si="35"/>
        <v>4Q2025</v>
      </c>
      <c r="F924" s="16" t="str">
        <f>+F923</f>
        <v>N/A</v>
      </c>
    </row>
    <row r="925" spans="1:6">
      <c r="A925" s="9">
        <f t="shared" si="34"/>
        <v>46011</v>
      </c>
      <c r="B925" s="10">
        <v>46011</v>
      </c>
      <c r="C925" s="25" t="s">
        <v>229</v>
      </c>
      <c r="E925" s="15" t="str">
        <f t="shared" si="35"/>
        <v>4Q2025</v>
      </c>
      <c r="F925" s="16" t="str">
        <f>+F924</f>
        <v>N/A</v>
      </c>
    </row>
    <row r="926" spans="1:6">
      <c r="A926" s="9">
        <f t="shared" si="34"/>
        <v>46042</v>
      </c>
      <c r="B926" s="10">
        <v>46042</v>
      </c>
      <c r="C926" s="25" t="s">
        <v>229</v>
      </c>
      <c r="E926" s="15" t="str">
        <f t="shared" si="35"/>
        <v>1Q2026</v>
      </c>
      <c r="F926" s="16" t="str">
        <f>IF(COUNTIF(C922:C924,"&gt;0")&lt;3,"N/A",AVERAGE(C922:C924))</f>
        <v>N/A</v>
      </c>
    </row>
    <row r="927" spans="1:6">
      <c r="A927" s="18">
        <f t="shared" si="34"/>
        <v>46073</v>
      </c>
      <c r="B927" s="19">
        <v>46073</v>
      </c>
      <c r="C927" s="25" t="s">
        <v>229</v>
      </c>
      <c r="E927" s="15" t="str">
        <f t="shared" si="35"/>
        <v>1Q2026</v>
      </c>
      <c r="F927" s="16" t="str">
        <f>+F926</f>
        <v>N/A</v>
      </c>
    </row>
    <row r="928" spans="1:6">
      <c r="A928" s="9">
        <f t="shared" si="34"/>
        <v>46101</v>
      </c>
      <c r="B928" s="10">
        <v>46101</v>
      </c>
      <c r="C928" s="25" t="s">
        <v>229</v>
      </c>
      <c r="E928" s="15" t="str">
        <f t="shared" si="35"/>
        <v>1Q2026</v>
      </c>
      <c r="F928" s="16" t="str">
        <f>+F927</f>
        <v>N/A</v>
      </c>
    </row>
    <row r="929" spans="1:6">
      <c r="A929" s="9">
        <f t="shared" si="34"/>
        <v>46132</v>
      </c>
      <c r="B929" s="10">
        <v>46132</v>
      </c>
      <c r="C929" s="25" t="s">
        <v>229</v>
      </c>
      <c r="E929" s="15" t="str">
        <f t="shared" si="35"/>
        <v>2Q2026</v>
      </c>
      <c r="F929" s="16" t="str">
        <f>IF(COUNTIF(C925:C927,"&gt;0")&lt;3,"N/A",AVERAGE(C925:C927))</f>
        <v>N/A</v>
      </c>
    </row>
    <row r="930" spans="1:6">
      <c r="A930" s="18">
        <f t="shared" si="34"/>
        <v>46162</v>
      </c>
      <c r="B930" s="19">
        <v>46162</v>
      </c>
      <c r="C930" s="25" t="s">
        <v>229</v>
      </c>
      <c r="E930" s="15" t="str">
        <f t="shared" si="35"/>
        <v>2Q2026</v>
      </c>
      <c r="F930" s="16" t="str">
        <f>+F929</f>
        <v>N/A</v>
      </c>
    </row>
    <row r="931" spans="1:6">
      <c r="A931" s="9">
        <f t="shared" si="34"/>
        <v>46193</v>
      </c>
      <c r="B931" s="10">
        <v>46193</v>
      </c>
      <c r="C931" s="25" t="s">
        <v>229</v>
      </c>
      <c r="E931" s="15" t="str">
        <f t="shared" si="35"/>
        <v>2Q2026</v>
      </c>
      <c r="F931" s="16" t="str">
        <f>+F930</f>
        <v>N/A</v>
      </c>
    </row>
    <row r="932" spans="1:6">
      <c r="A932" s="9">
        <f t="shared" si="34"/>
        <v>46223</v>
      </c>
      <c r="B932" s="10">
        <v>46223</v>
      </c>
      <c r="C932" s="25" t="s">
        <v>229</v>
      </c>
      <c r="E932" s="15" t="str">
        <f t="shared" si="35"/>
        <v>3Q2026</v>
      </c>
      <c r="F932" s="16" t="str">
        <f>IF(COUNTIF(C928:C930,"&gt;0")&lt;3,"N/A",AVERAGE(C928:C930))</f>
        <v>N/A</v>
      </c>
    </row>
    <row r="933" spans="1:6">
      <c r="A933" s="18">
        <f t="shared" si="34"/>
        <v>46254</v>
      </c>
      <c r="B933" s="19">
        <v>46254</v>
      </c>
      <c r="C933" s="25" t="s">
        <v>229</v>
      </c>
      <c r="E933" s="15" t="str">
        <f t="shared" si="35"/>
        <v>3Q2026</v>
      </c>
      <c r="F933" s="16" t="str">
        <f>+F932</f>
        <v>N/A</v>
      </c>
    </row>
    <row r="934" spans="1:6">
      <c r="A934" s="9">
        <f t="shared" si="34"/>
        <v>46285</v>
      </c>
      <c r="B934" s="10">
        <v>46285</v>
      </c>
      <c r="C934" s="25" t="s">
        <v>229</v>
      </c>
      <c r="E934" s="15" t="str">
        <f t="shared" si="35"/>
        <v>3Q2026</v>
      </c>
      <c r="F934" s="16" t="str">
        <f>+F933</f>
        <v>N/A</v>
      </c>
    </row>
    <row r="935" spans="1:6">
      <c r="A935" s="9">
        <f t="shared" si="34"/>
        <v>46315</v>
      </c>
      <c r="B935" s="10">
        <v>46315</v>
      </c>
      <c r="C935" s="25" t="s">
        <v>229</v>
      </c>
      <c r="E935" s="15" t="str">
        <f t="shared" si="35"/>
        <v>4Q2026</v>
      </c>
      <c r="F935" s="16" t="str">
        <f>IF(COUNTIF(C931:C933,"&gt;0")&lt;3,"N/A",AVERAGE(C931:C933))</f>
        <v>N/A</v>
      </c>
    </row>
    <row r="936" spans="1:6">
      <c r="A936" s="18">
        <f t="shared" si="34"/>
        <v>46346</v>
      </c>
      <c r="B936" s="19">
        <v>46346</v>
      </c>
      <c r="C936" s="25" t="s">
        <v>229</v>
      </c>
      <c r="E936" s="15" t="str">
        <f t="shared" si="35"/>
        <v>4Q2026</v>
      </c>
      <c r="F936" s="16" t="str">
        <f>+F935</f>
        <v>N/A</v>
      </c>
    </row>
    <row r="937" spans="1:6">
      <c r="A937" s="9">
        <f t="shared" si="34"/>
        <v>46376</v>
      </c>
      <c r="B937" s="10">
        <v>46376</v>
      </c>
      <c r="C937" s="25" t="s">
        <v>229</v>
      </c>
      <c r="E937" s="15" t="str">
        <f t="shared" si="35"/>
        <v>4Q2026</v>
      </c>
      <c r="F937" s="16" t="str">
        <f>+F936</f>
        <v>N/A</v>
      </c>
    </row>
    <row r="938" spans="1:6">
      <c r="A938" s="9">
        <f t="shared" si="34"/>
        <v>46407</v>
      </c>
      <c r="B938" s="10">
        <v>46407</v>
      </c>
      <c r="C938" s="25" t="s">
        <v>229</v>
      </c>
      <c r="E938" s="15" t="str">
        <f t="shared" si="35"/>
        <v>1Q2027</v>
      </c>
      <c r="F938" s="16" t="str">
        <f>IF(COUNTIF(C934:C936,"&gt;0")&lt;3,"N/A",AVERAGE(C934:C936))</f>
        <v>N/A</v>
      </c>
    </row>
    <row r="939" spans="1:6">
      <c r="A939" s="18">
        <f t="shared" si="34"/>
        <v>46438</v>
      </c>
      <c r="B939" s="19">
        <v>46438</v>
      </c>
      <c r="C939" s="25" t="s">
        <v>229</v>
      </c>
      <c r="E939" s="15" t="str">
        <f t="shared" si="35"/>
        <v>1Q2027</v>
      </c>
      <c r="F939" s="16" t="str">
        <f>+F938</f>
        <v>N/A</v>
      </c>
    </row>
    <row r="940" spans="1:6">
      <c r="A940" s="9">
        <f t="shared" si="34"/>
        <v>46466</v>
      </c>
      <c r="B940" s="10">
        <v>46466</v>
      </c>
      <c r="C940" s="25" t="s">
        <v>229</v>
      </c>
      <c r="E940" s="15" t="str">
        <f t="shared" si="35"/>
        <v>1Q2027</v>
      </c>
      <c r="F940" s="16" t="str">
        <f>+F939</f>
        <v>N/A</v>
      </c>
    </row>
    <row r="941" spans="1:6">
      <c r="A941" s="9">
        <f t="shared" si="34"/>
        <v>46497</v>
      </c>
      <c r="B941" s="10">
        <v>46497</v>
      </c>
      <c r="C941" s="25" t="s">
        <v>229</v>
      </c>
      <c r="E941" s="15" t="str">
        <f t="shared" si="35"/>
        <v>2Q2027</v>
      </c>
      <c r="F941" s="16" t="str">
        <f>IF(COUNTIF(C937:C939,"&gt;0")&lt;3,"N/A",AVERAGE(C937:C939))</f>
        <v>N/A</v>
      </c>
    </row>
    <row r="942" spans="1:6">
      <c r="A942" s="18">
        <f t="shared" si="34"/>
        <v>46527</v>
      </c>
      <c r="B942" s="19">
        <v>46527</v>
      </c>
      <c r="C942" s="25" t="s">
        <v>229</v>
      </c>
      <c r="E942" s="15" t="str">
        <f t="shared" si="35"/>
        <v>2Q2027</v>
      </c>
      <c r="F942" s="16" t="str">
        <f>+F941</f>
        <v>N/A</v>
      </c>
    </row>
    <row r="943" spans="1:6">
      <c r="A943" s="9">
        <f t="shared" si="34"/>
        <v>46558</v>
      </c>
      <c r="B943" s="10">
        <v>46558</v>
      </c>
      <c r="C943" s="25" t="s">
        <v>229</v>
      </c>
      <c r="E943" s="15" t="str">
        <f t="shared" si="35"/>
        <v>2Q2027</v>
      </c>
      <c r="F943" s="16" t="str">
        <f>+F942</f>
        <v>N/A</v>
      </c>
    </row>
    <row r="944" spans="1:6">
      <c r="A944" s="9">
        <f t="shared" si="34"/>
        <v>46588</v>
      </c>
      <c r="B944" s="10">
        <v>46588</v>
      </c>
      <c r="C944" s="25" t="s">
        <v>229</v>
      </c>
      <c r="E944" s="15" t="str">
        <f t="shared" si="35"/>
        <v>3Q2027</v>
      </c>
      <c r="F944" s="16" t="str">
        <f>IF(COUNTIF(C940:C942,"&gt;0")&lt;3,"N/A",AVERAGE(C940:C942))</f>
        <v>N/A</v>
      </c>
    </row>
    <row r="945" spans="1:6">
      <c r="A945" s="18">
        <f t="shared" si="34"/>
        <v>46619</v>
      </c>
      <c r="B945" s="19">
        <v>46619</v>
      </c>
      <c r="C945" s="25" t="s">
        <v>229</v>
      </c>
      <c r="E945" s="15" t="str">
        <f t="shared" si="35"/>
        <v>3Q2027</v>
      </c>
      <c r="F945" s="16" t="str">
        <f>+F944</f>
        <v>N/A</v>
      </c>
    </row>
    <row r="946" spans="1:6">
      <c r="A946" s="9">
        <f t="shared" si="34"/>
        <v>46650</v>
      </c>
      <c r="B946" s="10">
        <v>46650</v>
      </c>
      <c r="C946" s="25" t="s">
        <v>229</v>
      </c>
      <c r="E946" s="15" t="str">
        <f t="shared" si="35"/>
        <v>3Q2027</v>
      </c>
      <c r="F946" s="16" t="str">
        <f>+F945</f>
        <v>N/A</v>
      </c>
    </row>
    <row r="947" spans="1:6">
      <c r="A947" s="9">
        <f t="shared" si="34"/>
        <v>46680</v>
      </c>
      <c r="B947" s="10">
        <v>46680</v>
      </c>
      <c r="C947" s="25" t="s">
        <v>229</v>
      </c>
      <c r="E947" s="15" t="str">
        <f t="shared" si="35"/>
        <v>4Q2027</v>
      </c>
      <c r="F947" s="16" t="str">
        <f>IF(COUNTIF(C943:C945,"&gt;0")&lt;3,"N/A",AVERAGE(C943:C945))</f>
        <v>N/A</v>
      </c>
    </row>
    <row r="948" spans="1:6">
      <c r="A948" s="18">
        <f t="shared" si="34"/>
        <v>46711</v>
      </c>
      <c r="B948" s="19">
        <v>46711</v>
      </c>
      <c r="C948" s="25" t="s">
        <v>229</v>
      </c>
      <c r="E948" s="15" t="str">
        <f t="shared" si="35"/>
        <v>4Q2027</v>
      </c>
      <c r="F948" s="16" t="str">
        <f>+F947</f>
        <v>N/A</v>
      </c>
    </row>
    <row r="949" spans="1:6">
      <c r="A949" s="9">
        <f t="shared" si="34"/>
        <v>46741</v>
      </c>
      <c r="B949" s="10">
        <v>46741</v>
      </c>
      <c r="C949" s="25" t="s">
        <v>229</v>
      </c>
      <c r="E949" s="15" t="str">
        <f t="shared" si="35"/>
        <v>4Q2027</v>
      </c>
      <c r="F949" s="16" t="str">
        <f>+F948</f>
        <v>N/A</v>
      </c>
    </row>
    <row r="950" spans="1:6">
      <c r="A950" s="9">
        <f t="shared" si="34"/>
        <v>46772</v>
      </c>
      <c r="B950" s="10">
        <v>46772</v>
      </c>
      <c r="C950" s="25" t="s">
        <v>229</v>
      </c>
      <c r="E950" s="15" t="str">
        <f t="shared" si="35"/>
        <v>1Q2028</v>
      </c>
      <c r="F950" s="16" t="str">
        <f>IF(COUNTIF(C946:C948,"&gt;0")&lt;3,"N/A",AVERAGE(C946:C948))</f>
        <v>N/A</v>
      </c>
    </row>
    <row r="951" spans="1:6">
      <c r="A951" s="18">
        <f t="shared" si="34"/>
        <v>46803</v>
      </c>
      <c r="B951" s="19">
        <v>46803</v>
      </c>
      <c r="C951" s="25" t="s">
        <v>229</v>
      </c>
      <c r="E951" s="15" t="str">
        <f t="shared" si="35"/>
        <v>1Q2028</v>
      </c>
      <c r="F951" s="16" t="str">
        <f>+F950</f>
        <v>N/A</v>
      </c>
    </row>
    <row r="952" spans="1:6">
      <c r="A952" s="9">
        <f t="shared" si="34"/>
        <v>46832</v>
      </c>
      <c r="B952" s="10">
        <v>46832</v>
      </c>
      <c r="C952" s="25" t="s">
        <v>229</v>
      </c>
      <c r="E952" s="15" t="str">
        <f t="shared" si="35"/>
        <v>1Q2028</v>
      </c>
      <c r="F952" s="16" t="str">
        <f>+F951</f>
        <v>N/A</v>
      </c>
    </row>
    <row r="953" spans="1:6">
      <c r="A953" s="9">
        <f t="shared" si="34"/>
        <v>46863</v>
      </c>
      <c r="B953" s="10">
        <v>46863</v>
      </c>
      <c r="C953" s="25" t="s">
        <v>229</v>
      </c>
      <c r="E953" s="15" t="str">
        <f t="shared" si="35"/>
        <v>2Q2028</v>
      </c>
      <c r="F953" s="16" t="str">
        <f>IF(COUNTIF(C949:C951,"&gt;0")&lt;3,"N/A",AVERAGE(C949:C951))</f>
        <v>N/A</v>
      </c>
    </row>
    <row r="954" spans="1:6">
      <c r="A954" s="18">
        <f t="shared" si="34"/>
        <v>46893</v>
      </c>
      <c r="B954" s="19">
        <v>46893</v>
      </c>
      <c r="C954" s="25" t="s">
        <v>229</v>
      </c>
      <c r="E954" s="15" t="str">
        <f t="shared" si="35"/>
        <v>2Q2028</v>
      </c>
      <c r="F954" s="16" t="str">
        <f>+F953</f>
        <v>N/A</v>
      </c>
    </row>
    <row r="955" spans="1:6">
      <c r="A955" s="9">
        <f t="shared" si="34"/>
        <v>46924</v>
      </c>
      <c r="B955" s="10">
        <v>46924</v>
      </c>
      <c r="C955" s="25" t="s">
        <v>229</v>
      </c>
      <c r="E955" s="15" t="str">
        <f t="shared" si="35"/>
        <v>2Q2028</v>
      </c>
      <c r="F955" s="16" t="str">
        <f>+F954</f>
        <v>N/A</v>
      </c>
    </row>
    <row r="956" spans="1:6">
      <c r="A956" s="9">
        <f t="shared" si="34"/>
        <v>46954</v>
      </c>
      <c r="B956" s="10">
        <v>46954</v>
      </c>
      <c r="C956" s="25" t="s">
        <v>229</v>
      </c>
      <c r="E956" s="15" t="str">
        <f t="shared" si="35"/>
        <v>3Q2028</v>
      </c>
      <c r="F956" s="16" t="str">
        <f>IF(COUNTIF(C952:C954,"&gt;0")&lt;3,"N/A",AVERAGE(C952:C954))</f>
        <v>N/A</v>
      </c>
    </row>
    <row r="957" spans="1:6">
      <c r="A957" s="18">
        <f t="shared" si="34"/>
        <v>46985</v>
      </c>
      <c r="B957" s="19">
        <v>46985</v>
      </c>
      <c r="C957" s="25" t="s">
        <v>229</v>
      </c>
      <c r="E957" s="15" t="str">
        <f t="shared" si="35"/>
        <v>3Q2028</v>
      </c>
      <c r="F957" s="16" t="str">
        <f>+F956</f>
        <v>N/A</v>
      </c>
    </row>
    <row r="958" spans="1:6">
      <c r="A958" s="9">
        <f t="shared" si="34"/>
        <v>47016</v>
      </c>
      <c r="B958" s="10">
        <v>47016</v>
      </c>
      <c r="C958" s="25" t="s">
        <v>229</v>
      </c>
      <c r="E958" s="15" t="str">
        <f t="shared" si="35"/>
        <v>3Q2028</v>
      </c>
      <c r="F958" s="16" t="str">
        <f>+F957</f>
        <v>N/A</v>
      </c>
    </row>
    <row r="959" spans="1:6">
      <c r="A959" s="9">
        <f t="shared" si="34"/>
        <v>47046</v>
      </c>
      <c r="B959" s="10">
        <v>47046</v>
      </c>
      <c r="C959" s="25" t="s">
        <v>229</v>
      </c>
      <c r="E959" s="15" t="str">
        <f t="shared" si="35"/>
        <v>4Q2028</v>
      </c>
      <c r="F959" s="16" t="str">
        <f>IF(COUNTIF(C955:C957,"&gt;0")&lt;3,"N/A",AVERAGE(C955:C957))</f>
        <v>N/A</v>
      </c>
    </row>
    <row r="960" spans="1:6">
      <c r="A960" s="18">
        <f t="shared" si="34"/>
        <v>47077</v>
      </c>
      <c r="B960" s="19">
        <v>47077</v>
      </c>
      <c r="C960" s="25" t="s">
        <v>229</v>
      </c>
      <c r="E960" s="15" t="str">
        <f t="shared" si="35"/>
        <v>4Q2028</v>
      </c>
      <c r="F960" s="16" t="str">
        <f>+F959</f>
        <v>N/A</v>
      </c>
    </row>
    <row r="961" spans="1:6">
      <c r="A961" s="9">
        <f t="shared" si="34"/>
        <v>47107</v>
      </c>
      <c r="B961" s="10">
        <v>47107</v>
      </c>
      <c r="C961" s="25" t="s">
        <v>229</v>
      </c>
      <c r="E961" s="15" t="str">
        <f t="shared" si="35"/>
        <v>4Q2028</v>
      </c>
      <c r="F961" s="16" t="str">
        <f>+F960</f>
        <v>N/A</v>
      </c>
    </row>
    <row r="962" spans="1:6">
      <c r="A962" s="9">
        <f t="shared" si="34"/>
        <v>47138</v>
      </c>
      <c r="B962" s="10">
        <v>47138</v>
      </c>
      <c r="C962" s="25" t="s">
        <v>229</v>
      </c>
      <c r="E962" s="15" t="str">
        <f t="shared" si="35"/>
        <v>1Q2029</v>
      </c>
      <c r="F962" s="16" t="str">
        <f>IF(COUNTIF(C958:C960,"&gt;0")&lt;3,"N/A",AVERAGE(C958:C960))</f>
        <v>N/A</v>
      </c>
    </row>
    <row r="963" spans="1:6">
      <c r="A963" s="18">
        <f t="shared" si="34"/>
        <v>47169</v>
      </c>
      <c r="B963" s="19">
        <v>47169</v>
      </c>
      <c r="C963" s="25" t="s">
        <v>229</v>
      </c>
      <c r="E963" s="15" t="str">
        <f t="shared" si="35"/>
        <v>1Q2029</v>
      </c>
      <c r="F963" s="16" t="str">
        <f>+F962</f>
        <v>N/A</v>
      </c>
    </row>
    <row r="964" spans="1:6">
      <c r="A964" s="9">
        <f t="shared" si="34"/>
        <v>47197</v>
      </c>
      <c r="B964" s="10">
        <v>47197</v>
      </c>
      <c r="C964" s="25" t="s">
        <v>229</v>
      </c>
      <c r="E964" s="15" t="str">
        <f t="shared" si="35"/>
        <v>1Q2029</v>
      </c>
      <c r="F964" s="16" t="str">
        <f>+F963</f>
        <v>N/A</v>
      </c>
    </row>
    <row r="965" spans="1:6">
      <c r="A965" s="9">
        <f t="shared" ref="A965:A1028" si="36">+B965</f>
        <v>47228</v>
      </c>
      <c r="B965" s="10">
        <v>47228</v>
      </c>
      <c r="C965" s="25" t="s">
        <v>229</v>
      </c>
      <c r="E965" s="15" t="str">
        <f t="shared" si="35"/>
        <v>2Q2029</v>
      </c>
      <c r="F965" s="16" t="str">
        <f>IF(COUNTIF(C961:C963,"&gt;0")&lt;3,"N/A",AVERAGE(C961:C963))</f>
        <v>N/A</v>
      </c>
    </row>
    <row r="966" spans="1:6">
      <c r="A966" s="18">
        <f t="shared" si="36"/>
        <v>47258</v>
      </c>
      <c r="B966" s="19">
        <v>47258</v>
      </c>
      <c r="C966" s="25" t="s">
        <v>229</v>
      </c>
      <c r="E966" s="15" t="str">
        <f t="shared" si="35"/>
        <v>2Q2029</v>
      </c>
      <c r="F966" s="16" t="str">
        <f>+F965</f>
        <v>N/A</v>
      </c>
    </row>
    <row r="967" spans="1:6">
      <c r="A967" s="9">
        <f t="shared" si="36"/>
        <v>47289</v>
      </c>
      <c r="B967" s="10">
        <v>47289</v>
      </c>
      <c r="C967" s="25" t="s">
        <v>229</v>
      </c>
      <c r="E967" s="15" t="str">
        <f t="shared" si="35"/>
        <v>2Q2029</v>
      </c>
      <c r="F967" s="16" t="str">
        <f>+F966</f>
        <v>N/A</v>
      </c>
    </row>
    <row r="968" spans="1:6">
      <c r="A968" s="9">
        <f t="shared" si="36"/>
        <v>47319</v>
      </c>
      <c r="B968" s="10">
        <v>47319</v>
      </c>
      <c r="C968" s="25" t="s">
        <v>229</v>
      </c>
      <c r="E968" s="15" t="str">
        <f t="shared" si="35"/>
        <v>3Q2029</v>
      </c>
      <c r="F968" s="16" t="str">
        <f>IF(COUNTIF(C964:C966,"&gt;0")&lt;3,"N/A",AVERAGE(C964:C966))</f>
        <v>N/A</v>
      </c>
    </row>
    <row r="969" spans="1:6">
      <c r="A969" s="18">
        <f t="shared" si="36"/>
        <v>47350</v>
      </c>
      <c r="B969" s="19">
        <v>47350</v>
      </c>
      <c r="C969" s="25" t="s">
        <v>229</v>
      </c>
      <c r="E969" s="15" t="str">
        <f t="shared" si="35"/>
        <v>3Q2029</v>
      </c>
      <c r="F969" s="16" t="str">
        <f>+F968</f>
        <v>N/A</v>
      </c>
    </row>
    <row r="970" spans="1:6">
      <c r="A970" s="9">
        <f t="shared" si="36"/>
        <v>47381</v>
      </c>
      <c r="B970" s="10">
        <v>47381</v>
      </c>
      <c r="C970" s="25" t="s">
        <v>229</v>
      </c>
      <c r="E970" s="15" t="str">
        <f t="shared" si="35"/>
        <v>3Q2029</v>
      </c>
      <c r="F970" s="16" t="str">
        <f>+F969</f>
        <v>N/A</v>
      </c>
    </row>
    <row r="971" spans="1:6">
      <c r="A971" s="9">
        <f t="shared" si="36"/>
        <v>47411</v>
      </c>
      <c r="B971" s="10">
        <v>47411</v>
      </c>
      <c r="C971" s="25" t="s">
        <v>229</v>
      </c>
      <c r="E971" s="15" t="str">
        <f t="shared" ref="E971:E1034" si="37">IF(MONTH(B971)&lt;4,"1",IF(MONTH(B971)&lt;7,"2",IF(MONTH(B971)&lt;10,"3","4")))&amp;"Q"&amp;YEAR(B971)</f>
        <v>4Q2029</v>
      </c>
      <c r="F971" s="16" t="str">
        <f>IF(COUNTIF(C967:C969,"&gt;0")&lt;3,"N/A",AVERAGE(C967:C969))</f>
        <v>N/A</v>
      </c>
    </row>
    <row r="972" spans="1:6">
      <c r="A972" s="18">
        <f t="shared" si="36"/>
        <v>47442</v>
      </c>
      <c r="B972" s="19">
        <v>47442</v>
      </c>
      <c r="C972" s="25" t="s">
        <v>229</v>
      </c>
      <c r="E972" s="15" t="str">
        <f t="shared" si="37"/>
        <v>4Q2029</v>
      </c>
      <c r="F972" s="16" t="str">
        <f>+F971</f>
        <v>N/A</v>
      </c>
    </row>
    <row r="973" spans="1:6">
      <c r="A973" s="9">
        <f t="shared" si="36"/>
        <v>47472</v>
      </c>
      <c r="B973" s="10">
        <v>47472</v>
      </c>
      <c r="C973" s="25" t="s">
        <v>229</v>
      </c>
      <c r="E973" s="15" t="str">
        <f t="shared" si="37"/>
        <v>4Q2029</v>
      </c>
      <c r="F973" s="16" t="str">
        <f>+F972</f>
        <v>N/A</v>
      </c>
    </row>
    <row r="974" spans="1:6">
      <c r="A974" s="9">
        <f t="shared" si="36"/>
        <v>47503</v>
      </c>
      <c r="B974" s="10">
        <v>47503</v>
      </c>
      <c r="C974" s="25" t="s">
        <v>229</v>
      </c>
      <c r="E974" s="15" t="str">
        <f t="shared" si="37"/>
        <v>1Q2030</v>
      </c>
      <c r="F974" s="16" t="str">
        <f>IF(COUNTIF(C970:C972,"&gt;0")&lt;3,"N/A",AVERAGE(C970:C972))</f>
        <v>N/A</v>
      </c>
    </row>
    <row r="975" spans="1:6">
      <c r="A975" s="18">
        <f t="shared" si="36"/>
        <v>47534</v>
      </c>
      <c r="B975" s="19">
        <v>47534</v>
      </c>
      <c r="C975" s="25" t="s">
        <v>229</v>
      </c>
      <c r="E975" s="15" t="str">
        <f t="shared" si="37"/>
        <v>1Q2030</v>
      </c>
      <c r="F975" s="16" t="str">
        <f>+F974</f>
        <v>N/A</v>
      </c>
    </row>
    <row r="976" spans="1:6">
      <c r="A976" s="9">
        <f t="shared" si="36"/>
        <v>47562</v>
      </c>
      <c r="B976" s="10">
        <v>47562</v>
      </c>
      <c r="C976" s="25" t="s">
        <v>229</v>
      </c>
      <c r="E976" s="15" t="str">
        <f t="shared" si="37"/>
        <v>1Q2030</v>
      </c>
      <c r="F976" s="16" t="str">
        <f>+F975</f>
        <v>N/A</v>
      </c>
    </row>
    <row r="977" spans="1:6">
      <c r="A977" s="9">
        <f t="shared" si="36"/>
        <v>47593</v>
      </c>
      <c r="B977" s="10">
        <v>47593</v>
      </c>
      <c r="C977" s="25" t="s">
        <v>229</v>
      </c>
      <c r="E977" s="15" t="str">
        <f t="shared" si="37"/>
        <v>2Q2030</v>
      </c>
      <c r="F977" s="16" t="str">
        <f>IF(COUNTIF(C973:C975,"&gt;0")&lt;3,"N/A",AVERAGE(C973:C975))</f>
        <v>N/A</v>
      </c>
    </row>
    <row r="978" spans="1:6">
      <c r="A978" s="18">
        <f t="shared" si="36"/>
        <v>47623</v>
      </c>
      <c r="B978" s="19">
        <v>47623</v>
      </c>
      <c r="C978" s="25" t="s">
        <v>229</v>
      </c>
      <c r="E978" s="15" t="str">
        <f t="shared" si="37"/>
        <v>2Q2030</v>
      </c>
      <c r="F978" s="16" t="str">
        <f>+F977</f>
        <v>N/A</v>
      </c>
    </row>
    <row r="979" spans="1:6">
      <c r="A979" s="9">
        <f t="shared" si="36"/>
        <v>47654</v>
      </c>
      <c r="B979" s="10">
        <v>47654</v>
      </c>
      <c r="C979" s="25" t="s">
        <v>229</v>
      </c>
      <c r="E979" s="15" t="str">
        <f t="shared" si="37"/>
        <v>2Q2030</v>
      </c>
      <c r="F979" s="16" t="str">
        <f>+F978</f>
        <v>N/A</v>
      </c>
    </row>
    <row r="980" spans="1:6">
      <c r="A980" s="9">
        <f t="shared" si="36"/>
        <v>47684</v>
      </c>
      <c r="B980" s="10">
        <v>47684</v>
      </c>
      <c r="C980" s="25" t="s">
        <v>229</v>
      </c>
      <c r="E980" s="15" t="str">
        <f t="shared" si="37"/>
        <v>3Q2030</v>
      </c>
      <c r="F980" s="16" t="str">
        <f>IF(COUNTIF(C976:C978,"&gt;0")&lt;3,"N/A",AVERAGE(C976:C978))</f>
        <v>N/A</v>
      </c>
    </row>
    <row r="981" spans="1:6">
      <c r="A981" s="18">
        <f t="shared" si="36"/>
        <v>47715</v>
      </c>
      <c r="B981" s="19">
        <v>47715</v>
      </c>
      <c r="C981" s="25" t="s">
        <v>229</v>
      </c>
      <c r="E981" s="15" t="str">
        <f t="shared" si="37"/>
        <v>3Q2030</v>
      </c>
      <c r="F981" s="16" t="str">
        <f>+F980</f>
        <v>N/A</v>
      </c>
    </row>
    <row r="982" spans="1:6">
      <c r="A982" s="9">
        <f t="shared" si="36"/>
        <v>47746</v>
      </c>
      <c r="B982" s="10">
        <v>47746</v>
      </c>
      <c r="C982" s="25" t="s">
        <v>229</v>
      </c>
      <c r="E982" s="15" t="str">
        <f t="shared" si="37"/>
        <v>3Q2030</v>
      </c>
      <c r="F982" s="16" t="str">
        <f>+F981</f>
        <v>N/A</v>
      </c>
    </row>
    <row r="983" spans="1:6">
      <c r="A983" s="9">
        <f t="shared" si="36"/>
        <v>47776</v>
      </c>
      <c r="B983" s="10">
        <v>47776</v>
      </c>
      <c r="C983" s="25" t="s">
        <v>229</v>
      </c>
      <c r="E983" s="15" t="str">
        <f t="shared" si="37"/>
        <v>4Q2030</v>
      </c>
      <c r="F983" s="16" t="str">
        <f>IF(COUNTIF(C979:C981,"&gt;0")&lt;3,"N/A",AVERAGE(C979:C981))</f>
        <v>N/A</v>
      </c>
    </row>
    <row r="984" spans="1:6">
      <c r="A984" s="18">
        <f t="shared" si="36"/>
        <v>47807</v>
      </c>
      <c r="B984" s="19">
        <v>47807</v>
      </c>
      <c r="C984" s="25" t="s">
        <v>229</v>
      </c>
      <c r="E984" s="15" t="str">
        <f t="shared" si="37"/>
        <v>4Q2030</v>
      </c>
      <c r="F984" s="16" t="str">
        <f>+F983</f>
        <v>N/A</v>
      </c>
    </row>
    <row r="985" spans="1:6">
      <c r="A985" s="9">
        <f t="shared" si="36"/>
        <v>47837</v>
      </c>
      <c r="B985" s="10">
        <v>47837</v>
      </c>
      <c r="C985" s="25" t="s">
        <v>229</v>
      </c>
      <c r="E985" s="15" t="str">
        <f t="shared" si="37"/>
        <v>4Q2030</v>
      </c>
      <c r="F985" s="16" t="str">
        <f>+F984</f>
        <v>N/A</v>
      </c>
    </row>
    <row r="986" spans="1:6">
      <c r="A986" s="9">
        <f t="shared" si="36"/>
        <v>47868</v>
      </c>
      <c r="B986" s="10">
        <v>47868</v>
      </c>
      <c r="C986" s="25" t="s">
        <v>229</v>
      </c>
      <c r="E986" s="15" t="str">
        <f t="shared" si="37"/>
        <v>1Q2031</v>
      </c>
      <c r="F986" s="16" t="str">
        <f>IF(COUNTIF(C982:C984,"&gt;0")&lt;3,"N/A",AVERAGE(C982:C984))</f>
        <v>N/A</v>
      </c>
    </row>
    <row r="987" spans="1:6">
      <c r="A987" s="18">
        <f t="shared" si="36"/>
        <v>47899</v>
      </c>
      <c r="B987" s="19">
        <v>47899</v>
      </c>
      <c r="C987" s="25" t="s">
        <v>229</v>
      </c>
      <c r="E987" s="15" t="str">
        <f t="shared" si="37"/>
        <v>1Q2031</v>
      </c>
      <c r="F987" s="16" t="str">
        <f>+F986</f>
        <v>N/A</v>
      </c>
    </row>
    <row r="988" spans="1:6">
      <c r="A988" s="9">
        <f t="shared" si="36"/>
        <v>47927</v>
      </c>
      <c r="B988" s="10">
        <v>47927</v>
      </c>
      <c r="C988" s="25" t="s">
        <v>229</v>
      </c>
      <c r="E988" s="15" t="str">
        <f t="shared" si="37"/>
        <v>1Q2031</v>
      </c>
      <c r="F988" s="16" t="str">
        <f>+F987</f>
        <v>N/A</v>
      </c>
    </row>
    <row r="989" spans="1:6">
      <c r="A989" s="9">
        <f t="shared" si="36"/>
        <v>47958</v>
      </c>
      <c r="B989" s="10">
        <v>47958</v>
      </c>
      <c r="C989" s="25" t="s">
        <v>229</v>
      </c>
      <c r="E989" s="15" t="str">
        <f t="shared" si="37"/>
        <v>2Q2031</v>
      </c>
      <c r="F989" s="16" t="str">
        <f>IF(COUNTIF(C985:C987,"&gt;0")&lt;3,"N/A",AVERAGE(C985:C987))</f>
        <v>N/A</v>
      </c>
    </row>
    <row r="990" spans="1:6">
      <c r="A990" s="18">
        <f t="shared" si="36"/>
        <v>47988</v>
      </c>
      <c r="B990" s="19">
        <v>47988</v>
      </c>
      <c r="C990" s="25" t="s">
        <v>229</v>
      </c>
      <c r="E990" s="15" t="str">
        <f t="shared" si="37"/>
        <v>2Q2031</v>
      </c>
      <c r="F990" s="16" t="str">
        <f>+F989</f>
        <v>N/A</v>
      </c>
    </row>
    <row r="991" spans="1:6">
      <c r="A991" s="9">
        <f t="shared" si="36"/>
        <v>48019</v>
      </c>
      <c r="B991" s="10">
        <v>48019</v>
      </c>
      <c r="C991" s="25" t="s">
        <v>229</v>
      </c>
      <c r="E991" s="15" t="str">
        <f t="shared" si="37"/>
        <v>2Q2031</v>
      </c>
      <c r="F991" s="16" t="str">
        <f>+F990</f>
        <v>N/A</v>
      </c>
    </row>
    <row r="992" spans="1:6">
      <c r="A992" s="9">
        <f t="shared" si="36"/>
        <v>48049</v>
      </c>
      <c r="B992" s="10">
        <v>48049</v>
      </c>
      <c r="C992" s="25" t="s">
        <v>229</v>
      </c>
      <c r="E992" s="15" t="str">
        <f t="shared" si="37"/>
        <v>3Q2031</v>
      </c>
      <c r="F992" s="16" t="str">
        <f>IF(COUNTIF(C988:C990,"&gt;0")&lt;3,"N/A",AVERAGE(C988:C990))</f>
        <v>N/A</v>
      </c>
    </row>
    <row r="993" spans="1:6">
      <c r="A993" s="18">
        <f t="shared" si="36"/>
        <v>48080</v>
      </c>
      <c r="B993" s="19">
        <v>48080</v>
      </c>
      <c r="C993" s="25" t="s">
        <v>229</v>
      </c>
      <c r="E993" s="15" t="str">
        <f t="shared" si="37"/>
        <v>3Q2031</v>
      </c>
      <c r="F993" s="16" t="str">
        <f>+F992</f>
        <v>N/A</v>
      </c>
    </row>
    <row r="994" spans="1:6">
      <c r="A994" s="9">
        <f t="shared" si="36"/>
        <v>48111</v>
      </c>
      <c r="B994" s="10">
        <v>48111</v>
      </c>
      <c r="C994" s="25" t="s">
        <v>229</v>
      </c>
      <c r="E994" s="15" t="str">
        <f t="shared" si="37"/>
        <v>3Q2031</v>
      </c>
      <c r="F994" s="16" t="str">
        <f>+F993</f>
        <v>N/A</v>
      </c>
    </row>
    <row r="995" spans="1:6">
      <c r="A995" s="9">
        <f t="shared" si="36"/>
        <v>48141</v>
      </c>
      <c r="B995" s="10">
        <v>48141</v>
      </c>
      <c r="C995" s="25" t="s">
        <v>229</v>
      </c>
      <c r="E995" s="15" t="str">
        <f t="shared" si="37"/>
        <v>4Q2031</v>
      </c>
      <c r="F995" s="16" t="str">
        <f>IF(COUNTIF(C991:C993,"&gt;0")&lt;3,"N/A",AVERAGE(C991:C993))</f>
        <v>N/A</v>
      </c>
    </row>
    <row r="996" spans="1:6">
      <c r="A996" s="18">
        <f t="shared" si="36"/>
        <v>48172</v>
      </c>
      <c r="B996" s="19">
        <v>48172</v>
      </c>
      <c r="C996" s="25" t="s">
        <v>229</v>
      </c>
      <c r="E996" s="15" t="str">
        <f t="shared" si="37"/>
        <v>4Q2031</v>
      </c>
      <c r="F996" s="16" t="str">
        <f>+F995</f>
        <v>N/A</v>
      </c>
    </row>
    <row r="997" spans="1:6">
      <c r="A997" s="9">
        <f t="shared" si="36"/>
        <v>48202</v>
      </c>
      <c r="B997" s="10">
        <v>48202</v>
      </c>
      <c r="C997" s="25" t="s">
        <v>229</v>
      </c>
      <c r="E997" s="15" t="str">
        <f t="shared" si="37"/>
        <v>4Q2031</v>
      </c>
      <c r="F997" s="16" t="str">
        <f>+F996</f>
        <v>N/A</v>
      </c>
    </row>
    <row r="998" spans="1:6">
      <c r="A998" s="9">
        <f t="shared" si="36"/>
        <v>48233</v>
      </c>
      <c r="B998" s="10">
        <v>48233</v>
      </c>
      <c r="C998" s="25" t="s">
        <v>229</v>
      </c>
      <c r="E998" s="15" t="str">
        <f t="shared" si="37"/>
        <v>1Q2032</v>
      </c>
      <c r="F998" s="16" t="str">
        <f>IF(COUNTIF(C994:C996,"&gt;0")&lt;3,"N/A",AVERAGE(C994:C996))</f>
        <v>N/A</v>
      </c>
    </row>
    <row r="999" spans="1:6">
      <c r="A999" s="18">
        <f t="shared" si="36"/>
        <v>48264</v>
      </c>
      <c r="B999" s="19">
        <v>48264</v>
      </c>
      <c r="C999" s="25" t="s">
        <v>229</v>
      </c>
      <c r="E999" s="15" t="str">
        <f t="shared" si="37"/>
        <v>1Q2032</v>
      </c>
      <c r="F999" s="16" t="str">
        <f>+F998</f>
        <v>N/A</v>
      </c>
    </row>
    <row r="1000" spans="1:6">
      <c r="A1000" s="9">
        <f t="shared" si="36"/>
        <v>48293</v>
      </c>
      <c r="B1000" s="10">
        <v>48293</v>
      </c>
      <c r="C1000" s="25" t="s">
        <v>229</v>
      </c>
      <c r="E1000" s="15" t="str">
        <f t="shared" si="37"/>
        <v>1Q2032</v>
      </c>
      <c r="F1000" s="16" t="str">
        <f>+F999</f>
        <v>N/A</v>
      </c>
    </row>
    <row r="1001" spans="1:6">
      <c r="A1001" s="9">
        <f t="shared" si="36"/>
        <v>48324</v>
      </c>
      <c r="B1001" s="10">
        <v>48324</v>
      </c>
      <c r="C1001" s="25" t="s">
        <v>229</v>
      </c>
      <c r="E1001" s="15" t="str">
        <f t="shared" si="37"/>
        <v>2Q2032</v>
      </c>
      <c r="F1001" s="16" t="str">
        <f>IF(COUNTIF(C997:C999,"&gt;0")&lt;3,"N/A",AVERAGE(C997:C999))</f>
        <v>N/A</v>
      </c>
    </row>
    <row r="1002" spans="1:6">
      <c r="A1002" s="18">
        <f t="shared" si="36"/>
        <v>48354</v>
      </c>
      <c r="B1002" s="19">
        <v>48354</v>
      </c>
      <c r="C1002" s="25" t="s">
        <v>229</v>
      </c>
      <c r="E1002" s="15" t="str">
        <f t="shared" si="37"/>
        <v>2Q2032</v>
      </c>
      <c r="F1002" s="16" t="str">
        <f>+F1001</f>
        <v>N/A</v>
      </c>
    </row>
    <row r="1003" spans="1:6">
      <c r="A1003" s="9">
        <f t="shared" si="36"/>
        <v>48385</v>
      </c>
      <c r="B1003" s="10">
        <v>48385</v>
      </c>
      <c r="C1003" s="25" t="s">
        <v>229</v>
      </c>
      <c r="E1003" s="15" t="str">
        <f t="shared" si="37"/>
        <v>2Q2032</v>
      </c>
      <c r="F1003" s="16" t="str">
        <f>+F1002</f>
        <v>N/A</v>
      </c>
    </row>
    <row r="1004" spans="1:6">
      <c r="A1004" s="9">
        <f t="shared" si="36"/>
        <v>48415</v>
      </c>
      <c r="B1004" s="10">
        <v>48415</v>
      </c>
      <c r="C1004" s="25" t="s">
        <v>229</v>
      </c>
      <c r="E1004" s="15" t="str">
        <f t="shared" si="37"/>
        <v>3Q2032</v>
      </c>
      <c r="F1004" s="16" t="str">
        <f>IF(COUNTIF(C1000:C1002,"&gt;0")&lt;3,"N/A",AVERAGE(C1000:C1002))</f>
        <v>N/A</v>
      </c>
    </row>
    <row r="1005" spans="1:6">
      <c r="A1005" s="18">
        <f t="shared" si="36"/>
        <v>48446</v>
      </c>
      <c r="B1005" s="19">
        <v>48446</v>
      </c>
      <c r="C1005" s="25" t="s">
        <v>229</v>
      </c>
      <c r="E1005" s="15" t="str">
        <f t="shared" si="37"/>
        <v>3Q2032</v>
      </c>
      <c r="F1005" s="16" t="str">
        <f>+F1004</f>
        <v>N/A</v>
      </c>
    </row>
    <row r="1006" spans="1:6">
      <c r="A1006" s="9">
        <f t="shared" si="36"/>
        <v>48477</v>
      </c>
      <c r="B1006" s="10">
        <v>48477</v>
      </c>
      <c r="C1006" s="25" t="s">
        <v>229</v>
      </c>
      <c r="E1006" s="15" t="str">
        <f t="shared" si="37"/>
        <v>3Q2032</v>
      </c>
      <c r="F1006" s="16" t="str">
        <f>+F1005</f>
        <v>N/A</v>
      </c>
    </row>
    <row r="1007" spans="1:6">
      <c r="A1007" s="9">
        <f t="shared" si="36"/>
        <v>48507</v>
      </c>
      <c r="B1007" s="10">
        <v>48507</v>
      </c>
      <c r="C1007" s="25" t="s">
        <v>229</v>
      </c>
      <c r="E1007" s="15" t="str">
        <f t="shared" si="37"/>
        <v>4Q2032</v>
      </c>
      <c r="F1007" s="16" t="str">
        <f>IF(COUNTIF(C1003:C1005,"&gt;0")&lt;3,"N/A",AVERAGE(C1003:C1005))</f>
        <v>N/A</v>
      </c>
    </row>
    <row r="1008" spans="1:6">
      <c r="A1008" s="18">
        <f t="shared" si="36"/>
        <v>48538</v>
      </c>
      <c r="B1008" s="19">
        <v>48538</v>
      </c>
      <c r="C1008" s="25" t="s">
        <v>229</v>
      </c>
      <c r="E1008" s="15" t="str">
        <f t="shared" si="37"/>
        <v>4Q2032</v>
      </c>
      <c r="F1008" s="16" t="str">
        <f>+F1007</f>
        <v>N/A</v>
      </c>
    </row>
    <row r="1009" spans="1:6">
      <c r="A1009" s="9">
        <f t="shared" si="36"/>
        <v>48568</v>
      </c>
      <c r="B1009" s="10">
        <v>48568</v>
      </c>
      <c r="C1009" s="25" t="s">
        <v>229</v>
      </c>
      <c r="E1009" s="15" t="str">
        <f t="shared" si="37"/>
        <v>4Q2032</v>
      </c>
      <c r="F1009" s="16" t="str">
        <f>+F1008</f>
        <v>N/A</v>
      </c>
    </row>
    <row r="1010" spans="1:6">
      <c r="A1010" s="9">
        <f t="shared" si="36"/>
        <v>48599</v>
      </c>
      <c r="B1010" s="10">
        <v>48599</v>
      </c>
      <c r="C1010" s="25" t="s">
        <v>229</v>
      </c>
      <c r="E1010" s="15" t="str">
        <f t="shared" si="37"/>
        <v>1Q2033</v>
      </c>
      <c r="F1010" s="16" t="str">
        <f>IF(COUNTIF(C1006:C1008,"&gt;0")&lt;3,"N/A",AVERAGE(C1006:C1008))</f>
        <v>N/A</v>
      </c>
    </row>
    <row r="1011" spans="1:6">
      <c r="A1011" s="18">
        <f t="shared" si="36"/>
        <v>48630</v>
      </c>
      <c r="B1011" s="19">
        <v>48630</v>
      </c>
      <c r="C1011" s="25" t="s">
        <v>229</v>
      </c>
      <c r="E1011" s="15" t="str">
        <f t="shared" si="37"/>
        <v>1Q2033</v>
      </c>
      <c r="F1011" s="16" t="str">
        <f>+F1010</f>
        <v>N/A</v>
      </c>
    </row>
    <row r="1012" spans="1:6">
      <c r="A1012" s="9">
        <f t="shared" si="36"/>
        <v>48658</v>
      </c>
      <c r="B1012" s="10">
        <v>48658</v>
      </c>
      <c r="C1012" s="25" t="s">
        <v>229</v>
      </c>
      <c r="E1012" s="15" t="str">
        <f t="shared" si="37"/>
        <v>1Q2033</v>
      </c>
      <c r="F1012" s="16" t="str">
        <f>+F1011</f>
        <v>N/A</v>
      </c>
    </row>
    <row r="1013" spans="1:6">
      <c r="A1013" s="9">
        <f t="shared" si="36"/>
        <v>48689</v>
      </c>
      <c r="B1013" s="10">
        <v>48689</v>
      </c>
      <c r="C1013" s="25" t="s">
        <v>229</v>
      </c>
      <c r="E1013" s="15" t="str">
        <f t="shared" si="37"/>
        <v>2Q2033</v>
      </c>
      <c r="F1013" s="16" t="str">
        <f>IF(COUNTIF(C1009:C1011,"&gt;0")&lt;3,"N/A",AVERAGE(C1009:C1011))</f>
        <v>N/A</v>
      </c>
    </row>
    <row r="1014" spans="1:6">
      <c r="A1014" s="18">
        <f t="shared" si="36"/>
        <v>48719</v>
      </c>
      <c r="B1014" s="19">
        <v>48719</v>
      </c>
      <c r="C1014" s="25" t="s">
        <v>229</v>
      </c>
      <c r="E1014" s="15" t="str">
        <f t="shared" si="37"/>
        <v>2Q2033</v>
      </c>
      <c r="F1014" s="16" t="str">
        <f>+F1013</f>
        <v>N/A</v>
      </c>
    </row>
    <row r="1015" spans="1:6">
      <c r="A1015" s="9">
        <f t="shared" si="36"/>
        <v>48750</v>
      </c>
      <c r="B1015" s="10">
        <v>48750</v>
      </c>
      <c r="C1015" s="25" t="s">
        <v>229</v>
      </c>
      <c r="E1015" s="15" t="str">
        <f t="shared" si="37"/>
        <v>2Q2033</v>
      </c>
      <c r="F1015" s="16" t="str">
        <f>+F1014</f>
        <v>N/A</v>
      </c>
    </row>
    <row r="1016" spans="1:6">
      <c r="A1016" s="9">
        <f t="shared" si="36"/>
        <v>48780</v>
      </c>
      <c r="B1016" s="10">
        <v>48780</v>
      </c>
      <c r="C1016" s="25" t="s">
        <v>229</v>
      </c>
      <c r="E1016" s="15" t="str">
        <f t="shared" si="37"/>
        <v>3Q2033</v>
      </c>
      <c r="F1016" s="16" t="str">
        <f>IF(COUNTIF(C1012:C1014,"&gt;0")&lt;3,"N/A",AVERAGE(C1012:C1014))</f>
        <v>N/A</v>
      </c>
    </row>
    <row r="1017" spans="1:6">
      <c r="A1017" s="18">
        <f t="shared" si="36"/>
        <v>48811</v>
      </c>
      <c r="B1017" s="19">
        <v>48811</v>
      </c>
      <c r="C1017" s="25" t="s">
        <v>229</v>
      </c>
      <c r="E1017" s="15" t="str">
        <f t="shared" si="37"/>
        <v>3Q2033</v>
      </c>
      <c r="F1017" s="16" t="str">
        <f>+F1016</f>
        <v>N/A</v>
      </c>
    </row>
    <row r="1018" spans="1:6">
      <c r="A1018" s="9">
        <f t="shared" si="36"/>
        <v>48842</v>
      </c>
      <c r="B1018" s="10">
        <v>48842</v>
      </c>
      <c r="C1018" s="25" t="s">
        <v>229</v>
      </c>
      <c r="E1018" s="15" t="str">
        <f t="shared" si="37"/>
        <v>3Q2033</v>
      </c>
      <c r="F1018" s="16" t="str">
        <f>+F1017</f>
        <v>N/A</v>
      </c>
    </row>
    <row r="1019" spans="1:6">
      <c r="A1019" s="9">
        <f t="shared" si="36"/>
        <v>48872</v>
      </c>
      <c r="B1019" s="10">
        <v>48872</v>
      </c>
      <c r="C1019" s="25" t="s">
        <v>229</v>
      </c>
      <c r="E1019" s="15" t="str">
        <f t="shared" si="37"/>
        <v>4Q2033</v>
      </c>
      <c r="F1019" s="16" t="str">
        <f>IF(COUNTIF(C1015:C1017,"&gt;0")&lt;3,"N/A",AVERAGE(C1015:C1017))</f>
        <v>N/A</v>
      </c>
    </row>
    <row r="1020" spans="1:6">
      <c r="A1020" s="18">
        <f t="shared" si="36"/>
        <v>48903</v>
      </c>
      <c r="B1020" s="19">
        <v>48903</v>
      </c>
      <c r="C1020" s="25" t="s">
        <v>229</v>
      </c>
      <c r="E1020" s="15" t="str">
        <f t="shared" si="37"/>
        <v>4Q2033</v>
      </c>
      <c r="F1020" s="16" t="str">
        <f>+F1019</f>
        <v>N/A</v>
      </c>
    </row>
    <row r="1021" spans="1:6">
      <c r="A1021" s="9">
        <f t="shared" si="36"/>
        <v>48933</v>
      </c>
      <c r="B1021" s="10">
        <v>48933</v>
      </c>
      <c r="C1021" s="25" t="s">
        <v>229</v>
      </c>
      <c r="E1021" s="15" t="str">
        <f t="shared" si="37"/>
        <v>4Q2033</v>
      </c>
      <c r="F1021" s="16" t="str">
        <f>+F1020</f>
        <v>N/A</v>
      </c>
    </row>
    <row r="1022" spans="1:6">
      <c r="A1022" s="9">
        <f t="shared" si="36"/>
        <v>48964</v>
      </c>
      <c r="B1022" s="10">
        <v>48964</v>
      </c>
      <c r="C1022" s="25" t="s">
        <v>229</v>
      </c>
      <c r="E1022" s="15" t="str">
        <f t="shared" si="37"/>
        <v>1Q2034</v>
      </c>
      <c r="F1022" s="16" t="str">
        <f>IF(COUNTIF(C1018:C1020,"&gt;0")&lt;3,"N/A",AVERAGE(C1018:C1020))</f>
        <v>N/A</v>
      </c>
    </row>
    <row r="1023" spans="1:6">
      <c r="A1023" s="18">
        <f t="shared" si="36"/>
        <v>48995</v>
      </c>
      <c r="B1023" s="19">
        <v>48995</v>
      </c>
      <c r="C1023" s="25" t="s">
        <v>229</v>
      </c>
      <c r="E1023" s="15" t="str">
        <f t="shared" si="37"/>
        <v>1Q2034</v>
      </c>
      <c r="F1023" s="16" t="str">
        <f>+F1022</f>
        <v>N/A</v>
      </c>
    </row>
    <row r="1024" spans="1:6">
      <c r="A1024" s="9">
        <f t="shared" si="36"/>
        <v>49023</v>
      </c>
      <c r="B1024" s="10">
        <v>49023</v>
      </c>
      <c r="C1024" s="25" t="s">
        <v>229</v>
      </c>
      <c r="E1024" s="15" t="str">
        <f t="shared" si="37"/>
        <v>1Q2034</v>
      </c>
      <c r="F1024" s="16" t="str">
        <f>+F1023</f>
        <v>N/A</v>
      </c>
    </row>
    <row r="1025" spans="1:6">
      <c r="A1025" s="9">
        <f t="shared" si="36"/>
        <v>49054</v>
      </c>
      <c r="B1025" s="10">
        <v>49054</v>
      </c>
      <c r="C1025" s="25" t="s">
        <v>229</v>
      </c>
      <c r="E1025" s="15" t="str">
        <f t="shared" si="37"/>
        <v>2Q2034</v>
      </c>
      <c r="F1025" s="16" t="str">
        <f>IF(COUNTIF(C1021:C1023,"&gt;0")&lt;3,"N/A",AVERAGE(C1021:C1023))</f>
        <v>N/A</v>
      </c>
    </row>
    <row r="1026" spans="1:6">
      <c r="A1026" s="18">
        <f t="shared" si="36"/>
        <v>49084</v>
      </c>
      <c r="B1026" s="19">
        <v>49084</v>
      </c>
      <c r="C1026" s="25" t="s">
        <v>229</v>
      </c>
      <c r="E1026" s="15" t="str">
        <f t="shared" si="37"/>
        <v>2Q2034</v>
      </c>
      <c r="F1026" s="16" t="str">
        <f>+F1025</f>
        <v>N/A</v>
      </c>
    </row>
    <row r="1027" spans="1:6">
      <c r="A1027" s="9">
        <f t="shared" si="36"/>
        <v>49115</v>
      </c>
      <c r="B1027" s="10">
        <v>49115</v>
      </c>
      <c r="C1027" s="25" t="s">
        <v>229</v>
      </c>
      <c r="E1027" s="15" t="str">
        <f t="shared" si="37"/>
        <v>2Q2034</v>
      </c>
      <c r="F1027" s="16" t="str">
        <f>+F1026</f>
        <v>N/A</v>
      </c>
    </row>
    <row r="1028" spans="1:6">
      <c r="A1028" s="9">
        <f t="shared" si="36"/>
        <v>49145</v>
      </c>
      <c r="B1028" s="10">
        <v>49145</v>
      </c>
      <c r="C1028" s="25" t="s">
        <v>229</v>
      </c>
      <c r="E1028" s="15" t="str">
        <f t="shared" si="37"/>
        <v>3Q2034</v>
      </c>
      <c r="F1028" s="16" t="str">
        <f>IF(COUNTIF(C1024:C1026,"&gt;0")&lt;3,"N/A",AVERAGE(C1024:C1026))</f>
        <v>N/A</v>
      </c>
    </row>
    <row r="1029" spans="1:6">
      <c r="A1029" s="18">
        <f t="shared" ref="A1029:A1092" si="38">+B1029</f>
        <v>49176</v>
      </c>
      <c r="B1029" s="19">
        <v>49176</v>
      </c>
      <c r="C1029" s="25" t="s">
        <v>229</v>
      </c>
      <c r="E1029" s="15" t="str">
        <f t="shared" si="37"/>
        <v>3Q2034</v>
      </c>
      <c r="F1029" s="16" t="str">
        <f>+F1028</f>
        <v>N/A</v>
      </c>
    </row>
    <row r="1030" spans="1:6">
      <c r="A1030" s="9">
        <f t="shared" si="38"/>
        <v>49207</v>
      </c>
      <c r="B1030" s="10">
        <v>49207</v>
      </c>
      <c r="C1030" s="25" t="s">
        <v>229</v>
      </c>
      <c r="E1030" s="15" t="str">
        <f t="shared" si="37"/>
        <v>3Q2034</v>
      </c>
      <c r="F1030" s="16" t="str">
        <f>+F1029</f>
        <v>N/A</v>
      </c>
    </row>
    <row r="1031" spans="1:6">
      <c r="A1031" s="9">
        <f t="shared" si="38"/>
        <v>49237</v>
      </c>
      <c r="B1031" s="10">
        <v>49237</v>
      </c>
      <c r="C1031" s="25" t="s">
        <v>229</v>
      </c>
      <c r="E1031" s="15" t="str">
        <f t="shared" si="37"/>
        <v>4Q2034</v>
      </c>
      <c r="F1031" s="16" t="str">
        <f>IF(COUNTIF(C1027:C1029,"&gt;0")&lt;3,"N/A",AVERAGE(C1027:C1029))</f>
        <v>N/A</v>
      </c>
    </row>
    <row r="1032" spans="1:6">
      <c r="A1032" s="18">
        <f t="shared" si="38"/>
        <v>49268</v>
      </c>
      <c r="B1032" s="19">
        <v>49268</v>
      </c>
      <c r="C1032" s="25" t="s">
        <v>229</v>
      </c>
      <c r="E1032" s="15" t="str">
        <f t="shared" si="37"/>
        <v>4Q2034</v>
      </c>
      <c r="F1032" s="16" t="str">
        <f>+F1031</f>
        <v>N/A</v>
      </c>
    </row>
    <row r="1033" spans="1:6">
      <c r="A1033" s="9">
        <f t="shared" si="38"/>
        <v>49298</v>
      </c>
      <c r="B1033" s="10">
        <v>49298</v>
      </c>
      <c r="C1033" s="25" t="s">
        <v>229</v>
      </c>
      <c r="E1033" s="15" t="str">
        <f t="shared" si="37"/>
        <v>4Q2034</v>
      </c>
      <c r="F1033" s="16" t="str">
        <f>+F1032</f>
        <v>N/A</v>
      </c>
    </row>
    <row r="1034" spans="1:6">
      <c r="A1034" s="9">
        <f t="shared" si="38"/>
        <v>49329</v>
      </c>
      <c r="B1034" s="10">
        <v>49329</v>
      </c>
      <c r="C1034" s="25" t="s">
        <v>229</v>
      </c>
      <c r="E1034" s="15" t="str">
        <f t="shared" si="37"/>
        <v>1Q2035</v>
      </c>
      <c r="F1034" s="16" t="str">
        <f>IF(COUNTIF(C1030:C1032,"&gt;0")&lt;3,"N/A",AVERAGE(C1030:C1032))</f>
        <v>N/A</v>
      </c>
    </row>
    <row r="1035" spans="1:6">
      <c r="A1035" s="18">
        <f t="shared" si="38"/>
        <v>49360</v>
      </c>
      <c r="B1035" s="19">
        <v>49360</v>
      </c>
      <c r="C1035" s="25" t="s">
        <v>229</v>
      </c>
      <c r="E1035" s="15" t="str">
        <f t="shared" ref="E1035:E1098" si="39">IF(MONTH(B1035)&lt;4,"1",IF(MONTH(B1035)&lt;7,"2",IF(MONTH(B1035)&lt;10,"3","4")))&amp;"Q"&amp;YEAR(B1035)</f>
        <v>1Q2035</v>
      </c>
      <c r="F1035" s="16" t="str">
        <f>+F1034</f>
        <v>N/A</v>
      </c>
    </row>
    <row r="1036" spans="1:6">
      <c r="A1036" s="9">
        <f t="shared" si="38"/>
        <v>49388</v>
      </c>
      <c r="B1036" s="10">
        <v>49388</v>
      </c>
      <c r="C1036" s="25" t="s">
        <v>229</v>
      </c>
      <c r="E1036" s="15" t="str">
        <f t="shared" si="39"/>
        <v>1Q2035</v>
      </c>
      <c r="F1036" s="16" t="str">
        <f>+F1035</f>
        <v>N/A</v>
      </c>
    </row>
    <row r="1037" spans="1:6">
      <c r="A1037" s="9">
        <f t="shared" si="38"/>
        <v>49419</v>
      </c>
      <c r="B1037" s="10">
        <v>49419</v>
      </c>
      <c r="C1037" s="25" t="s">
        <v>229</v>
      </c>
      <c r="E1037" s="15" t="str">
        <f t="shared" si="39"/>
        <v>2Q2035</v>
      </c>
      <c r="F1037" s="16" t="str">
        <f>IF(COUNTIF(C1033:C1035,"&gt;0")&lt;3,"N/A",AVERAGE(C1033:C1035))</f>
        <v>N/A</v>
      </c>
    </row>
    <row r="1038" spans="1:6">
      <c r="A1038" s="18">
        <f t="shared" si="38"/>
        <v>49449</v>
      </c>
      <c r="B1038" s="19">
        <v>49449</v>
      </c>
      <c r="C1038" s="25" t="s">
        <v>229</v>
      </c>
      <c r="E1038" s="15" t="str">
        <f t="shared" si="39"/>
        <v>2Q2035</v>
      </c>
      <c r="F1038" s="16" t="str">
        <f>+F1037</f>
        <v>N/A</v>
      </c>
    </row>
    <row r="1039" spans="1:6">
      <c r="A1039" s="9">
        <f t="shared" si="38"/>
        <v>49480</v>
      </c>
      <c r="B1039" s="10">
        <v>49480</v>
      </c>
      <c r="C1039" s="25" t="s">
        <v>229</v>
      </c>
      <c r="E1039" s="15" t="str">
        <f t="shared" si="39"/>
        <v>2Q2035</v>
      </c>
      <c r="F1039" s="16" t="str">
        <f>+F1038</f>
        <v>N/A</v>
      </c>
    </row>
    <row r="1040" spans="1:6">
      <c r="A1040" s="9">
        <f t="shared" si="38"/>
        <v>49510</v>
      </c>
      <c r="B1040" s="10">
        <v>49510</v>
      </c>
      <c r="C1040" s="25" t="s">
        <v>229</v>
      </c>
      <c r="E1040" s="15" t="str">
        <f t="shared" si="39"/>
        <v>3Q2035</v>
      </c>
      <c r="F1040" s="16" t="str">
        <f>IF(COUNTIF(C1036:C1038,"&gt;0")&lt;3,"N/A",AVERAGE(C1036:C1038))</f>
        <v>N/A</v>
      </c>
    </row>
    <row r="1041" spans="1:6">
      <c r="A1041" s="18">
        <f t="shared" si="38"/>
        <v>49541</v>
      </c>
      <c r="B1041" s="19">
        <v>49541</v>
      </c>
      <c r="C1041" s="25" t="s">
        <v>229</v>
      </c>
      <c r="E1041" s="15" t="str">
        <f t="shared" si="39"/>
        <v>3Q2035</v>
      </c>
      <c r="F1041" s="16" t="str">
        <f>+F1040</f>
        <v>N/A</v>
      </c>
    </row>
    <row r="1042" spans="1:6">
      <c r="A1042" s="9">
        <f t="shared" si="38"/>
        <v>49572</v>
      </c>
      <c r="B1042" s="10">
        <v>49572</v>
      </c>
      <c r="C1042" s="25" t="s">
        <v>229</v>
      </c>
      <c r="E1042" s="15" t="str">
        <f t="shared" si="39"/>
        <v>3Q2035</v>
      </c>
      <c r="F1042" s="16" t="str">
        <f>+F1041</f>
        <v>N/A</v>
      </c>
    </row>
    <row r="1043" spans="1:6">
      <c r="A1043" s="9">
        <f t="shared" si="38"/>
        <v>49602</v>
      </c>
      <c r="B1043" s="10">
        <v>49602</v>
      </c>
      <c r="C1043" s="25" t="s">
        <v>229</v>
      </c>
      <c r="E1043" s="15" t="str">
        <f t="shared" si="39"/>
        <v>4Q2035</v>
      </c>
      <c r="F1043" s="16" t="str">
        <f>IF(COUNTIF(C1039:C1041,"&gt;0")&lt;3,"N/A",AVERAGE(C1039:C1041))</f>
        <v>N/A</v>
      </c>
    </row>
    <row r="1044" spans="1:6">
      <c r="A1044" s="18">
        <f t="shared" si="38"/>
        <v>49633</v>
      </c>
      <c r="B1044" s="19">
        <v>49633</v>
      </c>
      <c r="C1044" s="25" t="s">
        <v>229</v>
      </c>
      <c r="E1044" s="15" t="str">
        <f t="shared" si="39"/>
        <v>4Q2035</v>
      </c>
      <c r="F1044" s="16" t="str">
        <f>+F1043</f>
        <v>N/A</v>
      </c>
    </row>
    <row r="1045" spans="1:6">
      <c r="A1045" s="9">
        <f t="shared" si="38"/>
        <v>49663</v>
      </c>
      <c r="B1045" s="10">
        <v>49663</v>
      </c>
      <c r="C1045" s="25" t="s">
        <v>229</v>
      </c>
      <c r="E1045" s="15" t="str">
        <f t="shared" si="39"/>
        <v>4Q2035</v>
      </c>
      <c r="F1045" s="16" t="str">
        <f>+F1044</f>
        <v>N/A</v>
      </c>
    </row>
    <row r="1046" spans="1:6">
      <c r="A1046" s="9">
        <f t="shared" si="38"/>
        <v>49694</v>
      </c>
      <c r="B1046" s="10">
        <v>49694</v>
      </c>
      <c r="C1046" s="25" t="s">
        <v>229</v>
      </c>
      <c r="E1046" s="15" t="str">
        <f t="shared" si="39"/>
        <v>1Q2036</v>
      </c>
      <c r="F1046" s="16" t="str">
        <f>IF(COUNTIF(C1042:C1044,"&gt;0")&lt;3,"N/A",AVERAGE(C1042:C1044))</f>
        <v>N/A</v>
      </c>
    </row>
    <row r="1047" spans="1:6">
      <c r="A1047" s="18">
        <f t="shared" si="38"/>
        <v>49725</v>
      </c>
      <c r="B1047" s="19">
        <v>49725</v>
      </c>
      <c r="C1047" s="25" t="s">
        <v>229</v>
      </c>
      <c r="E1047" s="15" t="str">
        <f t="shared" si="39"/>
        <v>1Q2036</v>
      </c>
      <c r="F1047" s="16" t="str">
        <f>+F1046</f>
        <v>N/A</v>
      </c>
    </row>
    <row r="1048" spans="1:6">
      <c r="A1048" s="9">
        <f t="shared" si="38"/>
        <v>49754</v>
      </c>
      <c r="B1048" s="10">
        <v>49754</v>
      </c>
      <c r="C1048" s="25" t="s">
        <v>229</v>
      </c>
      <c r="E1048" s="15" t="str">
        <f t="shared" si="39"/>
        <v>1Q2036</v>
      </c>
      <c r="F1048" s="16" t="str">
        <f>+F1047</f>
        <v>N/A</v>
      </c>
    </row>
    <row r="1049" spans="1:6">
      <c r="A1049" s="9">
        <f t="shared" si="38"/>
        <v>49785</v>
      </c>
      <c r="B1049" s="10">
        <v>49785</v>
      </c>
      <c r="C1049" s="25" t="s">
        <v>229</v>
      </c>
      <c r="E1049" s="15" t="str">
        <f t="shared" si="39"/>
        <v>2Q2036</v>
      </c>
      <c r="F1049" s="16" t="str">
        <f>IF(COUNTIF(C1045:C1047,"&gt;0")&lt;3,"N/A",AVERAGE(C1045:C1047))</f>
        <v>N/A</v>
      </c>
    </row>
    <row r="1050" spans="1:6">
      <c r="A1050" s="18">
        <f t="shared" si="38"/>
        <v>49815</v>
      </c>
      <c r="B1050" s="19">
        <v>49815</v>
      </c>
      <c r="C1050" s="25" t="s">
        <v>229</v>
      </c>
      <c r="E1050" s="15" t="str">
        <f t="shared" si="39"/>
        <v>2Q2036</v>
      </c>
      <c r="F1050" s="16" t="str">
        <f>+F1049</f>
        <v>N/A</v>
      </c>
    </row>
    <row r="1051" spans="1:6">
      <c r="A1051" s="9">
        <f t="shared" si="38"/>
        <v>49846</v>
      </c>
      <c r="B1051" s="10">
        <v>49846</v>
      </c>
      <c r="C1051" s="25" t="s">
        <v>229</v>
      </c>
      <c r="E1051" s="15" t="str">
        <f t="shared" si="39"/>
        <v>2Q2036</v>
      </c>
      <c r="F1051" s="16" t="str">
        <f>+F1050</f>
        <v>N/A</v>
      </c>
    </row>
    <row r="1052" spans="1:6">
      <c r="A1052" s="9">
        <f t="shared" si="38"/>
        <v>49876</v>
      </c>
      <c r="B1052" s="10">
        <v>49876</v>
      </c>
      <c r="C1052" s="25" t="s">
        <v>229</v>
      </c>
      <c r="E1052" s="15" t="str">
        <f t="shared" si="39"/>
        <v>3Q2036</v>
      </c>
      <c r="F1052" s="16" t="str">
        <f>IF(COUNTIF(C1048:C1050,"&gt;0")&lt;3,"N/A",AVERAGE(C1048:C1050))</f>
        <v>N/A</v>
      </c>
    </row>
    <row r="1053" spans="1:6">
      <c r="A1053" s="18">
        <f t="shared" si="38"/>
        <v>49907</v>
      </c>
      <c r="B1053" s="19">
        <v>49907</v>
      </c>
      <c r="C1053" s="25" t="s">
        <v>229</v>
      </c>
      <c r="E1053" s="15" t="str">
        <f t="shared" si="39"/>
        <v>3Q2036</v>
      </c>
      <c r="F1053" s="16" t="str">
        <f>+F1052</f>
        <v>N/A</v>
      </c>
    </row>
    <row r="1054" spans="1:6">
      <c r="A1054" s="9">
        <f t="shared" si="38"/>
        <v>49938</v>
      </c>
      <c r="B1054" s="10">
        <v>49938</v>
      </c>
      <c r="C1054" s="25" t="s">
        <v>229</v>
      </c>
      <c r="E1054" s="15" t="str">
        <f t="shared" si="39"/>
        <v>3Q2036</v>
      </c>
      <c r="F1054" s="16" t="str">
        <f>+F1053</f>
        <v>N/A</v>
      </c>
    </row>
    <row r="1055" spans="1:6">
      <c r="A1055" s="9">
        <f t="shared" si="38"/>
        <v>49968</v>
      </c>
      <c r="B1055" s="10">
        <v>49968</v>
      </c>
      <c r="C1055" s="25" t="s">
        <v>229</v>
      </c>
      <c r="E1055" s="15" t="str">
        <f t="shared" si="39"/>
        <v>4Q2036</v>
      </c>
      <c r="F1055" s="16" t="str">
        <f>IF(COUNTIF(C1051:C1053,"&gt;0")&lt;3,"N/A",AVERAGE(C1051:C1053))</f>
        <v>N/A</v>
      </c>
    </row>
    <row r="1056" spans="1:6">
      <c r="A1056" s="18">
        <f t="shared" si="38"/>
        <v>49999</v>
      </c>
      <c r="B1056" s="19">
        <v>49999</v>
      </c>
      <c r="C1056" s="25" t="s">
        <v>229</v>
      </c>
      <c r="E1056" s="15" t="str">
        <f t="shared" si="39"/>
        <v>4Q2036</v>
      </c>
      <c r="F1056" s="16" t="str">
        <f>+F1055</f>
        <v>N/A</v>
      </c>
    </row>
    <row r="1057" spans="1:6">
      <c r="A1057" s="9">
        <f t="shared" si="38"/>
        <v>50029</v>
      </c>
      <c r="B1057" s="10">
        <v>50029</v>
      </c>
      <c r="C1057" s="25" t="s">
        <v>229</v>
      </c>
      <c r="E1057" s="15" t="str">
        <f t="shared" si="39"/>
        <v>4Q2036</v>
      </c>
      <c r="F1057" s="16" t="str">
        <f>+F1056</f>
        <v>N/A</v>
      </c>
    </row>
    <row r="1058" spans="1:6">
      <c r="A1058" s="9">
        <f t="shared" si="38"/>
        <v>50060</v>
      </c>
      <c r="B1058" s="10">
        <v>50060</v>
      </c>
      <c r="C1058" s="25" t="s">
        <v>229</v>
      </c>
      <c r="E1058" s="15" t="str">
        <f t="shared" si="39"/>
        <v>1Q2037</v>
      </c>
      <c r="F1058" s="16" t="str">
        <f>IF(COUNTIF(C1054:C1056,"&gt;0")&lt;3,"N/A",AVERAGE(C1054:C1056))</f>
        <v>N/A</v>
      </c>
    </row>
    <row r="1059" spans="1:6">
      <c r="A1059" s="18">
        <f t="shared" si="38"/>
        <v>50091</v>
      </c>
      <c r="B1059" s="19">
        <v>50091</v>
      </c>
      <c r="C1059" s="25" t="s">
        <v>229</v>
      </c>
      <c r="E1059" s="15" t="str">
        <f t="shared" si="39"/>
        <v>1Q2037</v>
      </c>
      <c r="F1059" s="16" t="str">
        <f>+F1058</f>
        <v>N/A</v>
      </c>
    </row>
    <row r="1060" spans="1:6">
      <c r="A1060" s="9">
        <f t="shared" si="38"/>
        <v>50119</v>
      </c>
      <c r="B1060" s="10">
        <v>50119</v>
      </c>
      <c r="C1060" s="25" t="s">
        <v>229</v>
      </c>
      <c r="E1060" s="15" t="str">
        <f t="shared" si="39"/>
        <v>1Q2037</v>
      </c>
      <c r="F1060" s="16" t="str">
        <f>+F1059</f>
        <v>N/A</v>
      </c>
    </row>
    <row r="1061" spans="1:6">
      <c r="A1061" s="9">
        <f t="shared" si="38"/>
        <v>50150</v>
      </c>
      <c r="B1061" s="10">
        <v>50150</v>
      </c>
      <c r="C1061" s="25" t="s">
        <v>229</v>
      </c>
      <c r="E1061" s="15" t="str">
        <f t="shared" si="39"/>
        <v>2Q2037</v>
      </c>
      <c r="F1061" s="16" t="str">
        <f>IF(COUNTIF(C1057:C1059,"&gt;0")&lt;3,"N/A",AVERAGE(C1057:C1059))</f>
        <v>N/A</v>
      </c>
    </row>
    <row r="1062" spans="1:6">
      <c r="A1062" s="18">
        <f t="shared" si="38"/>
        <v>50180</v>
      </c>
      <c r="B1062" s="19">
        <v>50180</v>
      </c>
      <c r="C1062" s="25" t="s">
        <v>229</v>
      </c>
      <c r="E1062" s="15" t="str">
        <f t="shared" si="39"/>
        <v>2Q2037</v>
      </c>
      <c r="F1062" s="16" t="str">
        <f>+F1061</f>
        <v>N/A</v>
      </c>
    </row>
    <row r="1063" spans="1:6">
      <c r="A1063" s="9">
        <f t="shared" si="38"/>
        <v>50211</v>
      </c>
      <c r="B1063" s="10">
        <v>50211</v>
      </c>
      <c r="C1063" s="25" t="s">
        <v>229</v>
      </c>
      <c r="E1063" s="15" t="str">
        <f t="shared" si="39"/>
        <v>2Q2037</v>
      </c>
      <c r="F1063" s="16" t="str">
        <f>+F1062</f>
        <v>N/A</v>
      </c>
    </row>
    <row r="1064" spans="1:6">
      <c r="A1064" s="9">
        <f t="shared" si="38"/>
        <v>50241</v>
      </c>
      <c r="B1064" s="10">
        <v>50241</v>
      </c>
      <c r="C1064" s="25" t="s">
        <v>229</v>
      </c>
      <c r="E1064" s="15" t="str">
        <f t="shared" si="39"/>
        <v>3Q2037</v>
      </c>
      <c r="F1064" s="16" t="str">
        <f>IF(COUNTIF(C1060:C1062,"&gt;0")&lt;3,"N/A",AVERAGE(C1060:C1062))</f>
        <v>N/A</v>
      </c>
    </row>
    <row r="1065" spans="1:6">
      <c r="A1065" s="18">
        <f t="shared" si="38"/>
        <v>50272</v>
      </c>
      <c r="B1065" s="19">
        <v>50272</v>
      </c>
      <c r="C1065" s="25" t="s">
        <v>229</v>
      </c>
      <c r="E1065" s="15" t="str">
        <f t="shared" si="39"/>
        <v>3Q2037</v>
      </c>
      <c r="F1065" s="16" t="str">
        <f>+F1064</f>
        <v>N/A</v>
      </c>
    </row>
    <row r="1066" spans="1:6">
      <c r="A1066" s="9">
        <f t="shared" si="38"/>
        <v>50303</v>
      </c>
      <c r="B1066" s="10">
        <v>50303</v>
      </c>
      <c r="C1066" s="25" t="s">
        <v>229</v>
      </c>
      <c r="E1066" s="15" t="str">
        <f t="shared" si="39"/>
        <v>3Q2037</v>
      </c>
      <c r="F1066" s="16" t="str">
        <f>+F1065</f>
        <v>N/A</v>
      </c>
    </row>
    <row r="1067" spans="1:6">
      <c r="A1067" s="9">
        <f t="shared" si="38"/>
        <v>50333</v>
      </c>
      <c r="B1067" s="10">
        <v>50333</v>
      </c>
      <c r="C1067" s="25" t="s">
        <v>229</v>
      </c>
      <c r="E1067" s="15" t="str">
        <f t="shared" si="39"/>
        <v>4Q2037</v>
      </c>
      <c r="F1067" s="16" t="str">
        <f>IF(COUNTIF(C1063:C1065,"&gt;0")&lt;3,"N/A",AVERAGE(C1063:C1065))</f>
        <v>N/A</v>
      </c>
    </row>
    <row r="1068" spans="1:6">
      <c r="A1068" s="18">
        <f t="shared" si="38"/>
        <v>50364</v>
      </c>
      <c r="B1068" s="19">
        <v>50364</v>
      </c>
      <c r="C1068" s="25" t="s">
        <v>229</v>
      </c>
      <c r="E1068" s="15" t="str">
        <f t="shared" si="39"/>
        <v>4Q2037</v>
      </c>
      <c r="F1068" s="16" t="str">
        <f>+F1067</f>
        <v>N/A</v>
      </c>
    </row>
    <row r="1069" spans="1:6">
      <c r="A1069" s="9">
        <f t="shared" si="38"/>
        <v>50394</v>
      </c>
      <c r="B1069" s="10">
        <v>50394</v>
      </c>
      <c r="C1069" s="25" t="s">
        <v>229</v>
      </c>
      <c r="E1069" s="15" t="str">
        <f t="shared" si="39"/>
        <v>4Q2037</v>
      </c>
      <c r="F1069" s="16" t="str">
        <f>+F1068</f>
        <v>N/A</v>
      </c>
    </row>
    <row r="1070" spans="1:6">
      <c r="A1070" s="9">
        <f t="shared" si="38"/>
        <v>50425</v>
      </c>
      <c r="B1070" s="10">
        <v>50425</v>
      </c>
      <c r="C1070" s="25" t="s">
        <v>229</v>
      </c>
      <c r="E1070" s="15" t="str">
        <f t="shared" si="39"/>
        <v>1Q2038</v>
      </c>
      <c r="F1070" s="16" t="str">
        <f>IF(COUNTIF(C1066:C1068,"&gt;0")&lt;3,"N/A",AVERAGE(C1066:C1068))</f>
        <v>N/A</v>
      </c>
    </row>
    <row r="1071" spans="1:6">
      <c r="A1071" s="18">
        <f t="shared" si="38"/>
        <v>50456</v>
      </c>
      <c r="B1071" s="19">
        <v>50456</v>
      </c>
      <c r="C1071" s="25" t="s">
        <v>229</v>
      </c>
      <c r="E1071" s="15" t="str">
        <f t="shared" si="39"/>
        <v>1Q2038</v>
      </c>
      <c r="F1071" s="16" t="str">
        <f>+F1070</f>
        <v>N/A</v>
      </c>
    </row>
    <row r="1072" spans="1:6">
      <c r="A1072" s="9">
        <f t="shared" si="38"/>
        <v>50484</v>
      </c>
      <c r="B1072" s="10">
        <v>50484</v>
      </c>
      <c r="C1072" s="25" t="s">
        <v>229</v>
      </c>
      <c r="E1072" s="15" t="str">
        <f t="shared" si="39"/>
        <v>1Q2038</v>
      </c>
      <c r="F1072" s="16" t="str">
        <f>+F1071</f>
        <v>N/A</v>
      </c>
    </row>
    <row r="1073" spans="1:6">
      <c r="A1073" s="9">
        <f t="shared" si="38"/>
        <v>50515</v>
      </c>
      <c r="B1073" s="10">
        <v>50515</v>
      </c>
      <c r="C1073" s="25" t="s">
        <v>229</v>
      </c>
      <c r="E1073" s="15" t="str">
        <f t="shared" si="39"/>
        <v>2Q2038</v>
      </c>
      <c r="F1073" s="16" t="str">
        <f>IF(COUNTIF(C1069:C1071,"&gt;0")&lt;3,"N/A",AVERAGE(C1069:C1071))</f>
        <v>N/A</v>
      </c>
    </row>
    <row r="1074" spans="1:6">
      <c r="A1074" s="18">
        <f t="shared" si="38"/>
        <v>50545</v>
      </c>
      <c r="B1074" s="19">
        <v>50545</v>
      </c>
      <c r="C1074" s="25" t="s">
        <v>229</v>
      </c>
      <c r="E1074" s="15" t="str">
        <f t="shared" si="39"/>
        <v>2Q2038</v>
      </c>
      <c r="F1074" s="16" t="str">
        <f>+F1073</f>
        <v>N/A</v>
      </c>
    </row>
    <row r="1075" spans="1:6">
      <c r="A1075" s="9">
        <f t="shared" si="38"/>
        <v>50576</v>
      </c>
      <c r="B1075" s="10">
        <v>50576</v>
      </c>
      <c r="C1075" s="25" t="s">
        <v>229</v>
      </c>
      <c r="E1075" s="15" t="str">
        <f t="shared" si="39"/>
        <v>2Q2038</v>
      </c>
      <c r="F1075" s="16" t="str">
        <f>+F1074</f>
        <v>N/A</v>
      </c>
    </row>
    <row r="1076" spans="1:6">
      <c r="A1076" s="9">
        <f t="shared" si="38"/>
        <v>50606</v>
      </c>
      <c r="B1076" s="10">
        <v>50606</v>
      </c>
      <c r="C1076" s="25" t="s">
        <v>229</v>
      </c>
      <c r="E1076" s="15" t="str">
        <f t="shared" si="39"/>
        <v>3Q2038</v>
      </c>
      <c r="F1076" s="16" t="str">
        <f>IF(COUNTIF(C1072:C1074,"&gt;0")&lt;3,"N/A",AVERAGE(C1072:C1074))</f>
        <v>N/A</v>
      </c>
    </row>
    <row r="1077" spans="1:6">
      <c r="A1077" s="18">
        <f t="shared" si="38"/>
        <v>50637</v>
      </c>
      <c r="B1077" s="19">
        <v>50637</v>
      </c>
      <c r="C1077" s="25" t="s">
        <v>229</v>
      </c>
      <c r="E1077" s="15" t="str">
        <f t="shared" si="39"/>
        <v>3Q2038</v>
      </c>
      <c r="F1077" s="16" t="str">
        <f>+F1076</f>
        <v>N/A</v>
      </c>
    </row>
    <row r="1078" spans="1:6">
      <c r="A1078" s="9">
        <f t="shared" si="38"/>
        <v>50668</v>
      </c>
      <c r="B1078" s="10">
        <v>50668</v>
      </c>
      <c r="C1078" s="25" t="s">
        <v>229</v>
      </c>
      <c r="E1078" s="15" t="str">
        <f t="shared" si="39"/>
        <v>3Q2038</v>
      </c>
      <c r="F1078" s="16" t="str">
        <f>+F1077</f>
        <v>N/A</v>
      </c>
    </row>
    <row r="1079" spans="1:6">
      <c r="A1079" s="9">
        <f t="shared" si="38"/>
        <v>50698</v>
      </c>
      <c r="B1079" s="10">
        <v>50698</v>
      </c>
      <c r="C1079" s="25" t="s">
        <v>229</v>
      </c>
      <c r="E1079" s="15" t="str">
        <f t="shared" si="39"/>
        <v>4Q2038</v>
      </c>
      <c r="F1079" s="16" t="str">
        <f>IF(COUNTIF(C1075:C1077,"&gt;0")&lt;3,"N/A",AVERAGE(C1075:C1077))</f>
        <v>N/A</v>
      </c>
    </row>
    <row r="1080" spans="1:6">
      <c r="A1080" s="18">
        <f t="shared" si="38"/>
        <v>50729</v>
      </c>
      <c r="B1080" s="19">
        <v>50729</v>
      </c>
      <c r="C1080" s="25" t="s">
        <v>229</v>
      </c>
      <c r="E1080" s="15" t="str">
        <f t="shared" si="39"/>
        <v>4Q2038</v>
      </c>
      <c r="F1080" s="16" t="str">
        <f>+F1079</f>
        <v>N/A</v>
      </c>
    </row>
    <row r="1081" spans="1:6">
      <c r="A1081" s="9">
        <f t="shared" si="38"/>
        <v>50759</v>
      </c>
      <c r="B1081" s="10">
        <v>50759</v>
      </c>
      <c r="C1081" s="25" t="s">
        <v>229</v>
      </c>
      <c r="E1081" s="15" t="str">
        <f t="shared" si="39"/>
        <v>4Q2038</v>
      </c>
      <c r="F1081" s="16" t="str">
        <f>+F1080</f>
        <v>N/A</v>
      </c>
    </row>
    <row r="1082" spans="1:6">
      <c r="A1082" s="9">
        <f t="shared" si="38"/>
        <v>50790</v>
      </c>
      <c r="B1082" s="10">
        <v>50790</v>
      </c>
      <c r="C1082" s="25" t="s">
        <v>229</v>
      </c>
      <c r="E1082" s="15" t="str">
        <f t="shared" si="39"/>
        <v>1Q2039</v>
      </c>
      <c r="F1082" s="16" t="str">
        <f>IF(COUNTIF(C1078:C1080,"&gt;0")&lt;3,"N/A",AVERAGE(C1078:C1080))</f>
        <v>N/A</v>
      </c>
    </row>
    <row r="1083" spans="1:6">
      <c r="A1083" s="18">
        <f t="shared" si="38"/>
        <v>50821</v>
      </c>
      <c r="B1083" s="19">
        <v>50821</v>
      </c>
      <c r="C1083" s="25" t="s">
        <v>229</v>
      </c>
      <c r="E1083" s="15" t="str">
        <f t="shared" si="39"/>
        <v>1Q2039</v>
      </c>
      <c r="F1083" s="16" t="str">
        <f>+F1082</f>
        <v>N/A</v>
      </c>
    </row>
    <row r="1084" spans="1:6">
      <c r="A1084" s="9">
        <f t="shared" si="38"/>
        <v>50849</v>
      </c>
      <c r="B1084" s="10">
        <v>50849</v>
      </c>
      <c r="C1084" s="25" t="s">
        <v>229</v>
      </c>
      <c r="E1084" s="15" t="str">
        <f t="shared" si="39"/>
        <v>1Q2039</v>
      </c>
      <c r="F1084" s="16" t="str">
        <f>+F1083</f>
        <v>N/A</v>
      </c>
    </row>
    <row r="1085" spans="1:6">
      <c r="A1085" s="9">
        <f t="shared" si="38"/>
        <v>50880</v>
      </c>
      <c r="B1085" s="10">
        <v>50880</v>
      </c>
      <c r="C1085" s="25" t="s">
        <v>229</v>
      </c>
      <c r="E1085" s="15" t="str">
        <f t="shared" si="39"/>
        <v>2Q2039</v>
      </c>
      <c r="F1085" s="16" t="str">
        <f>IF(COUNTIF(C1081:C1083,"&gt;0")&lt;3,"N/A",AVERAGE(C1081:C1083))</f>
        <v>N/A</v>
      </c>
    </row>
    <row r="1086" spans="1:6">
      <c r="A1086" s="18">
        <f t="shared" si="38"/>
        <v>50910</v>
      </c>
      <c r="B1086" s="19">
        <v>50910</v>
      </c>
      <c r="C1086" s="25" t="s">
        <v>229</v>
      </c>
      <c r="E1086" s="15" t="str">
        <f t="shared" si="39"/>
        <v>2Q2039</v>
      </c>
      <c r="F1086" s="16" t="str">
        <f>+F1085</f>
        <v>N/A</v>
      </c>
    </row>
    <row r="1087" spans="1:6">
      <c r="A1087" s="9">
        <f t="shared" si="38"/>
        <v>50941</v>
      </c>
      <c r="B1087" s="10">
        <v>50941</v>
      </c>
      <c r="C1087" s="25" t="s">
        <v>229</v>
      </c>
      <c r="E1087" s="15" t="str">
        <f t="shared" si="39"/>
        <v>2Q2039</v>
      </c>
      <c r="F1087" s="16" t="str">
        <f>+F1086</f>
        <v>N/A</v>
      </c>
    </row>
    <row r="1088" spans="1:6">
      <c r="A1088" s="9">
        <f t="shared" si="38"/>
        <v>50971</v>
      </c>
      <c r="B1088" s="10">
        <v>50971</v>
      </c>
      <c r="C1088" s="25" t="s">
        <v>229</v>
      </c>
      <c r="E1088" s="15" t="str">
        <f t="shared" si="39"/>
        <v>3Q2039</v>
      </c>
      <c r="F1088" s="16" t="str">
        <f>IF(COUNTIF(C1084:C1086,"&gt;0")&lt;3,"N/A",AVERAGE(C1084:C1086))</f>
        <v>N/A</v>
      </c>
    </row>
    <row r="1089" spans="1:6">
      <c r="A1089" s="18">
        <f t="shared" si="38"/>
        <v>51002</v>
      </c>
      <c r="B1089" s="19">
        <v>51002</v>
      </c>
      <c r="C1089" s="25" t="s">
        <v>229</v>
      </c>
      <c r="E1089" s="15" t="str">
        <f t="shared" si="39"/>
        <v>3Q2039</v>
      </c>
      <c r="F1089" s="16" t="str">
        <f>+F1088</f>
        <v>N/A</v>
      </c>
    </row>
    <row r="1090" spans="1:6">
      <c r="A1090" s="9">
        <f t="shared" si="38"/>
        <v>51033</v>
      </c>
      <c r="B1090" s="10">
        <v>51033</v>
      </c>
      <c r="C1090" s="25" t="s">
        <v>229</v>
      </c>
      <c r="E1090" s="15" t="str">
        <f t="shared" si="39"/>
        <v>3Q2039</v>
      </c>
      <c r="F1090" s="16" t="str">
        <f>+F1089</f>
        <v>N/A</v>
      </c>
    </row>
    <row r="1091" spans="1:6">
      <c r="A1091" s="9">
        <f t="shared" si="38"/>
        <v>51063</v>
      </c>
      <c r="B1091" s="10">
        <v>51063</v>
      </c>
      <c r="C1091" s="25" t="s">
        <v>229</v>
      </c>
      <c r="E1091" s="15" t="str">
        <f t="shared" si="39"/>
        <v>4Q2039</v>
      </c>
      <c r="F1091" s="16" t="str">
        <f>IF(COUNTIF(C1087:C1089,"&gt;0")&lt;3,"N/A",AVERAGE(C1087:C1089))</f>
        <v>N/A</v>
      </c>
    </row>
    <row r="1092" spans="1:6">
      <c r="A1092" s="18">
        <f t="shared" si="38"/>
        <v>51094</v>
      </c>
      <c r="B1092" s="19">
        <v>51094</v>
      </c>
      <c r="C1092" s="25" t="s">
        <v>229</v>
      </c>
      <c r="E1092" s="15" t="str">
        <f t="shared" si="39"/>
        <v>4Q2039</v>
      </c>
      <c r="F1092" s="16" t="str">
        <f>+F1091</f>
        <v>N/A</v>
      </c>
    </row>
    <row r="1093" spans="1:6">
      <c r="A1093" s="9">
        <f t="shared" ref="A1093:A1156" si="40">+B1093</f>
        <v>51124</v>
      </c>
      <c r="B1093" s="10">
        <v>51124</v>
      </c>
      <c r="C1093" s="25" t="s">
        <v>229</v>
      </c>
      <c r="E1093" s="15" t="str">
        <f t="shared" si="39"/>
        <v>4Q2039</v>
      </c>
      <c r="F1093" s="16" t="str">
        <f>+F1092</f>
        <v>N/A</v>
      </c>
    </row>
    <row r="1094" spans="1:6">
      <c r="A1094" s="9">
        <f t="shared" si="40"/>
        <v>51155</v>
      </c>
      <c r="B1094" s="10">
        <v>51155</v>
      </c>
      <c r="C1094" s="25" t="s">
        <v>229</v>
      </c>
      <c r="E1094" s="15" t="str">
        <f t="shared" si="39"/>
        <v>1Q2040</v>
      </c>
      <c r="F1094" s="16" t="str">
        <f>IF(COUNTIF(C1090:C1092,"&gt;0")&lt;3,"N/A",AVERAGE(C1090:C1092))</f>
        <v>N/A</v>
      </c>
    </row>
    <row r="1095" spans="1:6">
      <c r="A1095" s="18">
        <f t="shared" si="40"/>
        <v>51186</v>
      </c>
      <c r="B1095" s="19">
        <v>51186</v>
      </c>
      <c r="C1095" s="25" t="s">
        <v>229</v>
      </c>
      <c r="E1095" s="15" t="str">
        <f t="shared" si="39"/>
        <v>1Q2040</v>
      </c>
      <c r="F1095" s="16" t="str">
        <f>+F1094</f>
        <v>N/A</v>
      </c>
    </row>
    <row r="1096" spans="1:6">
      <c r="A1096" s="9">
        <f t="shared" si="40"/>
        <v>51215</v>
      </c>
      <c r="B1096" s="10">
        <v>51215</v>
      </c>
      <c r="C1096" s="25" t="s">
        <v>229</v>
      </c>
      <c r="E1096" s="15" t="str">
        <f t="shared" si="39"/>
        <v>1Q2040</v>
      </c>
      <c r="F1096" s="16" t="str">
        <f>+F1095</f>
        <v>N/A</v>
      </c>
    </row>
    <row r="1097" spans="1:6">
      <c r="A1097" s="9">
        <f t="shared" si="40"/>
        <v>51246</v>
      </c>
      <c r="B1097" s="10">
        <v>51246</v>
      </c>
      <c r="C1097" s="25" t="s">
        <v>229</v>
      </c>
      <c r="E1097" s="15" t="str">
        <f t="shared" si="39"/>
        <v>2Q2040</v>
      </c>
      <c r="F1097" s="16" t="str">
        <f>IF(COUNTIF(C1093:C1095,"&gt;0")&lt;3,"N/A",AVERAGE(C1093:C1095))</f>
        <v>N/A</v>
      </c>
    </row>
    <row r="1098" spans="1:6">
      <c r="A1098" s="18">
        <f t="shared" si="40"/>
        <v>51276</v>
      </c>
      <c r="B1098" s="19">
        <v>51276</v>
      </c>
      <c r="C1098" s="25" t="s">
        <v>229</v>
      </c>
      <c r="E1098" s="15" t="str">
        <f t="shared" si="39"/>
        <v>2Q2040</v>
      </c>
      <c r="F1098" s="16" t="str">
        <f>+F1097</f>
        <v>N/A</v>
      </c>
    </row>
    <row r="1099" spans="1:6">
      <c r="A1099" s="9">
        <f t="shared" si="40"/>
        <v>51307</v>
      </c>
      <c r="B1099" s="10">
        <v>51307</v>
      </c>
      <c r="C1099" s="25" t="s">
        <v>229</v>
      </c>
      <c r="E1099" s="15" t="str">
        <f t="shared" ref="E1099:E1162" si="41">IF(MONTH(B1099)&lt;4,"1",IF(MONTH(B1099)&lt;7,"2",IF(MONTH(B1099)&lt;10,"3","4")))&amp;"Q"&amp;YEAR(B1099)</f>
        <v>2Q2040</v>
      </c>
      <c r="F1099" s="16" t="str">
        <f>+F1098</f>
        <v>N/A</v>
      </c>
    </row>
    <row r="1100" spans="1:6">
      <c r="A1100" s="9">
        <f t="shared" si="40"/>
        <v>51337</v>
      </c>
      <c r="B1100" s="10">
        <v>51337</v>
      </c>
      <c r="C1100" s="25" t="s">
        <v>229</v>
      </c>
      <c r="E1100" s="15" t="str">
        <f t="shared" si="41"/>
        <v>3Q2040</v>
      </c>
      <c r="F1100" s="16" t="str">
        <f>IF(COUNTIF(C1096:C1098,"&gt;0")&lt;3,"N/A",AVERAGE(C1096:C1098))</f>
        <v>N/A</v>
      </c>
    </row>
    <row r="1101" spans="1:6">
      <c r="A1101" s="18">
        <f t="shared" si="40"/>
        <v>51368</v>
      </c>
      <c r="B1101" s="19">
        <v>51368</v>
      </c>
      <c r="C1101" s="25" t="s">
        <v>229</v>
      </c>
      <c r="E1101" s="15" t="str">
        <f t="shared" si="41"/>
        <v>3Q2040</v>
      </c>
      <c r="F1101" s="16" t="str">
        <f>+F1100</f>
        <v>N/A</v>
      </c>
    </row>
    <row r="1102" spans="1:6">
      <c r="A1102" s="9">
        <f t="shared" si="40"/>
        <v>51399</v>
      </c>
      <c r="B1102" s="10">
        <v>51399</v>
      </c>
      <c r="C1102" s="25" t="s">
        <v>229</v>
      </c>
      <c r="E1102" s="15" t="str">
        <f t="shared" si="41"/>
        <v>3Q2040</v>
      </c>
      <c r="F1102" s="16" t="str">
        <f>+F1101</f>
        <v>N/A</v>
      </c>
    </row>
    <row r="1103" spans="1:6">
      <c r="A1103" s="9">
        <f t="shared" si="40"/>
        <v>51429</v>
      </c>
      <c r="B1103" s="10">
        <v>51429</v>
      </c>
      <c r="C1103" s="25" t="s">
        <v>229</v>
      </c>
      <c r="E1103" s="15" t="str">
        <f t="shared" si="41"/>
        <v>4Q2040</v>
      </c>
      <c r="F1103" s="16" t="str">
        <f>IF(COUNTIF(C1099:C1101,"&gt;0")&lt;3,"N/A",AVERAGE(C1099:C1101))</f>
        <v>N/A</v>
      </c>
    </row>
    <row r="1104" spans="1:6">
      <c r="A1104" s="18">
        <f t="shared" si="40"/>
        <v>51460</v>
      </c>
      <c r="B1104" s="19">
        <v>51460</v>
      </c>
      <c r="C1104" s="25" t="s">
        <v>229</v>
      </c>
      <c r="E1104" s="15" t="str">
        <f t="shared" si="41"/>
        <v>4Q2040</v>
      </c>
      <c r="F1104" s="16" t="str">
        <f>+F1103</f>
        <v>N/A</v>
      </c>
    </row>
    <row r="1105" spans="1:6">
      <c r="A1105" s="9">
        <f t="shared" si="40"/>
        <v>51490</v>
      </c>
      <c r="B1105" s="10">
        <v>51490</v>
      </c>
      <c r="C1105" s="25" t="s">
        <v>229</v>
      </c>
      <c r="E1105" s="15" t="str">
        <f t="shared" si="41"/>
        <v>4Q2040</v>
      </c>
      <c r="F1105" s="16" t="str">
        <f>+F1104</f>
        <v>N/A</v>
      </c>
    </row>
    <row r="1106" spans="1:6">
      <c r="A1106" s="9">
        <f t="shared" si="40"/>
        <v>51521</v>
      </c>
      <c r="B1106" s="10">
        <v>51521</v>
      </c>
      <c r="C1106" s="25" t="s">
        <v>229</v>
      </c>
      <c r="E1106" s="15" t="str">
        <f t="shared" si="41"/>
        <v>1Q2041</v>
      </c>
      <c r="F1106" s="16" t="str">
        <f>IF(COUNTIF(C1102:C1104,"&gt;0")&lt;3,"N/A",AVERAGE(C1102:C1104))</f>
        <v>N/A</v>
      </c>
    </row>
    <row r="1107" spans="1:6">
      <c r="A1107" s="18">
        <f t="shared" si="40"/>
        <v>51552</v>
      </c>
      <c r="B1107" s="19">
        <v>51552</v>
      </c>
      <c r="C1107" s="25" t="s">
        <v>229</v>
      </c>
      <c r="E1107" s="15" t="str">
        <f t="shared" si="41"/>
        <v>1Q2041</v>
      </c>
      <c r="F1107" s="16" t="str">
        <f>+F1106</f>
        <v>N/A</v>
      </c>
    </row>
    <row r="1108" spans="1:6">
      <c r="A1108" s="9">
        <f t="shared" si="40"/>
        <v>51580</v>
      </c>
      <c r="B1108" s="10">
        <v>51580</v>
      </c>
      <c r="C1108" s="25" t="s">
        <v>229</v>
      </c>
      <c r="E1108" s="15" t="str">
        <f t="shared" si="41"/>
        <v>1Q2041</v>
      </c>
      <c r="F1108" s="16" t="str">
        <f>+F1107</f>
        <v>N/A</v>
      </c>
    </row>
    <row r="1109" spans="1:6">
      <c r="A1109" s="9">
        <f t="shared" si="40"/>
        <v>51611</v>
      </c>
      <c r="B1109" s="10">
        <v>51611</v>
      </c>
      <c r="C1109" s="25" t="s">
        <v>229</v>
      </c>
      <c r="E1109" s="15" t="str">
        <f t="shared" si="41"/>
        <v>2Q2041</v>
      </c>
      <c r="F1109" s="16" t="str">
        <f>IF(COUNTIF(C1105:C1107,"&gt;0")&lt;3,"N/A",AVERAGE(C1105:C1107))</f>
        <v>N/A</v>
      </c>
    </row>
    <row r="1110" spans="1:6">
      <c r="A1110" s="18">
        <f t="shared" si="40"/>
        <v>51641</v>
      </c>
      <c r="B1110" s="19">
        <v>51641</v>
      </c>
      <c r="C1110" s="25" t="s">
        <v>229</v>
      </c>
      <c r="E1110" s="15" t="str">
        <f t="shared" si="41"/>
        <v>2Q2041</v>
      </c>
      <c r="F1110" s="16" t="str">
        <f>+F1109</f>
        <v>N/A</v>
      </c>
    </row>
    <row r="1111" spans="1:6">
      <c r="A1111" s="9">
        <f t="shared" si="40"/>
        <v>51672</v>
      </c>
      <c r="B1111" s="10">
        <v>51672</v>
      </c>
      <c r="C1111" s="25" t="s">
        <v>229</v>
      </c>
      <c r="E1111" s="15" t="str">
        <f t="shared" si="41"/>
        <v>2Q2041</v>
      </c>
      <c r="F1111" s="16" t="str">
        <f>+F1110</f>
        <v>N/A</v>
      </c>
    </row>
    <row r="1112" spans="1:6">
      <c r="A1112" s="9">
        <f t="shared" si="40"/>
        <v>51702</v>
      </c>
      <c r="B1112" s="10">
        <v>51702</v>
      </c>
      <c r="C1112" s="25" t="s">
        <v>229</v>
      </c>
      <c r="E1112" s="15" t="str">
        <f t="shared" si="41"/>
        <v>3Q2041</v>
      </c>
      <c r="F1112" s="16" t="str">
        <f>IF(COUNTIF(C1108:C1110,"&gt;0")&lt;3,"N/A",AVERAGE(C1108:C1110))</f>
        <v>N/A</v>
      </c>
    </row>
    <row r="1113" spans="1:6">
      <c r="A1113" s="18">
        <f t="shared" si="40"/>
        <v>51733</v>
      </c>
      <c r="B1113" s="19">
        <v>51733</v>
      </c>
      <c r="C1113" s="25" t="s">
        <v>229</v>
      </c>
      <c r="E1113" s="15" t="str">
        <f t="shared" si="41"/>
        <v>3Q2041</v>
      </c>
      <c r="F1113" s="16" t="str">
        <f>+F1112</f>
        <v>N/A</v>
      </c>
    </row>
    <row r="1114" spans="1:6">
      <c r="A1114" s="9">
        <f t="shared" si="40"/>
        <v>51764</v>
      </c>
      <c r="B1114" s="10">
        <v>51764</v>
      </c>
      <c r="C1114" s="25" t="s">
        <v>229</v>
      </c>
      <c r="E1114" s="15" t="str">
        <f t="shared" si="41"/>
        <v>3Q2041</v>
      </c>
      <c r="F1114" s="16" t="str">
        <f>+F1113</f>
        <v>N/A</v>
      </c>
    </row>
    <row r="1115" spans="1:6">
      <c r="A1115" s="9">
        <f t="shared" si="40"/>
        <v>51794</v>
      </c>
      <c r="B1115" s="10">
        <v>51794</v>
      </c>
      <c r="C1115" s="25" t="s">
        <v>229</v>
      </c>
      <c r="E1115" s="15" t="str">
        <f t="shared" si="41"/>
        <v>4Q2041</v>
      </c>
      <c r="F1115" s="16" t="str">
        <f>IF(COUNTIF(C1111:C1113,"&gt;0")&lt;3,"N/A",AVERAGE(C1111:C1113))</f>
        <v>N/A</v>
      </c>
    </row>
    <row r="1116" spans="1:6">
      <c r="A1116" s="18">
        <f t="shared" si="40"/>
        <v>51825</v>
      </c>
      <c r="B1116" s="19">
        <v>51825</v>
      </c>
      <c r="C1116" s="25" t="s">
        <v>229</v>
      </c>
      <c r="E1116" s="15" t="str">
        <f t="shared" si="41"/>
        <v>4Q2041</v>
      </c>
      <c r="F1116" s="16" t="str">
        <f>+F1115</f>
        <v>N/A</v>
      </c>
    </row>
    <row r="1117" spans="1:6">
      <c r="A1117" s="9">
        <f t="shared" si="40"/>
        <v>51855</v>
      </c>
      <c r="B1117" s="10">
        <v>51855</v>
      </c>
      <c r="C1117" s="25" t="s">
        <v>229</v>
      </c>
      <c r="E1117" s="15" t="str">
        <f t="shared" si="41"/>
        <v>4Q2041</v>
      </c>
      <c r="F1117" s="16" t="str">
        <f>+F1116</f>
        <v>N/A</v>
      </c>
    </row>
    <row r="1118" spans="1:6">
      <c r="A1118" s="9">
        <f t="shared" si="40"/>
        <v>51886</v>
      </c>
      <c r="B1118" s="10">
        <v>51886</v>
      </c>
      <c r="C1118" s="25" t="s">
        <v>229</v>
      </c>
      <c r="E1118" s="15" t="str">
        <f t="shared" si="41"/>
        <v>1Q2042</v>
      </c>
      <c r="F1118" s="16" t="str">
        <f>IF(COUNTIF(C1114:C1116,"&gt;0")&lt;3,"N/A",AVERAGE(C1114:C1116))</f>
        <v>N/A</v>
      </c>
    </row>
    <row r="1119" spans="1:6">
      <c r="A1119" s="18">
        <f t="shared" si="40"/>
        <v>51917</v>
      </c>
      <c r="B1119" s="19">
        <v>51917</v>
      </c>
      <c r="C1119" s="25" t="s">
        <v>229</v>
      </c>
      <c r="E1119" s="15" t="str">
        <f t="shared" si="41"/>
        <v>1Q2042</v>
      </c>
      <c r="F1119" s="16" t="str">
        <f>+F1118</f>
        <v>N/A</v>
      </c>
    </row>
    <row r="1120" spans="1:6">
      <c r="A1120" s="9">
        <f t="shared" si="40"/>
        <v>51945</v>
      </c>
      <c r="B1120" s="10">
        <v>51945</v>
      </c>
      <c r="C1120" s="25" t="s">
        <v>229</v>
      </c>
      <c r="E1120" s="15" t="str">
        <f t="shared" si="41"/>
        <v>1Q2042</v>
      </c>
      <c r="F1120" s="16" t="str">
        <f>+F1119</f>
        <v>N/A</v>
      </c>
    </row>
    <row r="1121" spans="1:6">
      <c r="A1121" s="9">
        <f t="shared" si="40"/>
        <v>51976</v>
      </c>
      <c r="B1121" s="10">
        <v>51976</v>
      </c>
      <c r="C1121" s="25" t="s">
        <v>229</v>
      </c>
      <c r="E1121" s="15" t="str">
        <f t="shared" si="41"/>
        <v>2Q2042</v>
      </c>
      <c r="F1121" s="16" t="str">
        <f>IF(COUNTIF(C1117:C1119,"&gt;0")&lt;3,"N/A",AVERAGE(C1117:C1119))</f>
        <v>N/A</v>
      </c>
    </row>
    <row r="1122" spans="1:6">
      <c r="A1122" s="18">
        <f t="shared" si="40"/>
        <v>52006</v>
      </c>
      <c r="B1122" s="19">
        <v>52006</v>
      </c>
      <c r="C1122" s="25" t="s">
        <v>229</v>
      </c>
      <c r="E1122" s="15" t="str">
        <f t="shared" si="41"/>
        <v>2Q2042</v>
      </c>
      <c r="F1122" s="16" t="str">
        <f>+F1121</f>
        <v>N/A</v>
      </c>
    </row>
    <row r="1123" spans="1:6">
      <c r="A1123" s="9">
        <f t="shared" si="40"/>
        <v>52037</v>
      </c>
      <c r="B1123" s="10">
        <v>52037</v>
      </c>
      <c r="C1123" s="25" t="s">
        <v>229</v>
      </c>
      <c r="E1123" s="15" t="str">
        <f t="shared" si="41"/>
        <v>2Q2042</v>
      </c>
      <c r="F1123" s="16" t="str">
        <f>+F1122</f>
        <v>N/A</v>
      </c>
    </row>
    <row r="1124" spans="1:6">
      <c r="A1124" s="9">
        <f t="shared" si="40"/>
        <v>52067</v>
      </c>
      <c r="B1124" s="10">
        <v>52067</v>
      </c>
      <c r="C1124" s="25" t="s">
        <v>229</v>
      </c>
      <c r="E1124" s="15" t="str">
        <f t="shared" si="41"/>
        <v>3Q2042</v>
      </c>
      <c r="F1124" s="16" t="str">
        <f>IF(COUNTIF(C1120:C1122,"&gt;0")&lt;3,"N/A",AVERAGE(C1120:C1122))</f>
        <v>N/A</v>
      </c>
    </row>
    <row r="1125" spans="1:6">
      <c r="A1125" s="18">
        <f t="shared" si="40"/>
        <v>52098</v>
      </c>
      <c r="B1125" s="19">
        <v>52098</v>
      </c>
      <c r="C1125" s="25" t="s">
        <v>229</v>
      </c>
      <c r="E1125" s="15" t="str">
        <f t="shared" si="41"/>
        <v>3Q2042</v>
      </c>
      <c r="F1125" s="16" t="str">
        <f>+F1124</f>
        <v>N/A</v>
      </c>
    </row>
    <row r="1126" spans="1:6">
      <c r="A1126" s="9">
        <f t="shared" si="40"/>
        <v>52129</v>
      </c>
      <c r="B1126" s="10">
        <v>52129</v>
      </c>
      <c r="C1126" s="25" t="s">
        <v>229</v>
      </c>
      <c r="E1126" s="15" t="str">
        <f t="shared" si="41"/>
        <v>3Q2042</v>
      </c>
      <c r="F1126" s="16" t="str">
        <f>+F1125</f>
        <v>N/A</v>
      </c>
    </row>
    <row r="1127" spans="1:6">
      <c r="A1127" s="9">
        <f t="shared" si="40"/>
        <v>52159</v>
      </c>
      <c r="B1127" s="10">
        <v>52159</v>
      </c>
      <c r="C1127" s="25" t="s">
        <v>229</v>
      </c>
      <c r="E1127" s="15" t="str">
        <f t="shared" si="41"/>
        <v>4Q2042</v>
      </c>
      <c r="F1127" s="16" t="str">
        <f>IF(COUNTIF(C1123:C1125,"&gt;0")&lt;3,"N/A",AVERAGE(C1123:C1125))</f>
        <v>N/A</v>
      </c>
    </row>
    <row r="1128" spans="1:6">
      <c r="A1128" s="18">
        <f t="shared" si="40"/>
        <v>52190</v>
      </c>
      <c r="B1128" s="19">
        <v>52190</v>
      </c>
      <c r="C1128" s="25" t="s">
        <v>229</v>
      </c>
      <c r="E1128" s="15" t="str">
        <f t="shared" si="41"/>
        <v>4Q2042</v>
      </c>
      <c r="F1128" s="16" t="str">
        <f>+F1127</f>
        <v>N/A</v>
      </c>
    </row>
    <row r="1129" spans="1:6">
      <c r="A1129" s="9">
        <f t="shared" si="40"/>
        <v>52220</v>
      </c>
      <c r="B1129" s="10">
        <v>52220</v>
      </c>
      <c r="C1129" s="25" t="s">
        <v>229</v>
      </c>
      <c r="E1129" s="15" t="str">
        <f t="shared" si="41"/>
        <v>4Q2042</v>
      </c>
      <c r="F1129" s="16" t="str">
        <f>+F1128</f>
        <v>N/A</v>
      </c>
    </row>
    <row r="1130" spans="1:6">
      <c r="A1130" s="9">
        <f t="shared" si="40"/>
        <v>52251</v>
      </c>
      <c r="B1130" s="10">
        <v>52251</v>
      </c>
      <c r="C1130" s="25" t="s">
        <v>229</v>
      </c>
      <c r="E1130" s="15" t="str">
        <f t="shared" si="41"/>
        <v>1Q2043</v>
      </c>
      <c r="F1130" s="16" t="str">
        <f>IF(COUNTIF(C1126:C1128,"&gt;0")&lt;3,"N/A",AVERAGE(C1126:C1128))</f>
        <v>N/A</v>
      </c>
    </row>
    <row r="1131" spans="1:6">
      <c r="A1131" s="18">
        <f t="shared" si="40"/>
        <v>52282</v>
      </c>
      <c r="B1131" s="19">
        <v>52282</v>
      </c>
      <c r="C1131" s="25" t="s">
        <v>229</v>
      </c>
      <c r="E1131" s="15" t="str">
        <f t="shared" si="41"/>
        <v>1Q2043</v>
      </c>
      <c r="F1131" s="16" t="str">
        <f>+F1130</f>
        <v>N/A</v>
      </c>
    </row>
    <row r="1132" spans="1:6">
      <c r="A1132" s="9">
        <f t="shared" si="40"/>
        <v>52310</v>
      </c>
      <c r="B1132" s="10">
        <v>52310</v>
      </c>
      <c r="C1132" s="25" t="s">
        <v>229</v>
      </c>
      <c r="E1132" s="15" t="str">
        <f t="shared" si="41"/>
        <v>1Q2043</v>
      </c>
      <c r="F1132" s="16" t="str">
        <f>+F1131</f>
        <v>N/A</v>
      </c>
    </row>
    <row r="1133" spans="1:6">
      <c r="A1133" s="9">
        <f t="shared" si="40"/>
        <v>52341</v>
      </c>
      <c r="B1133" s="10">
        <v>52341</v>
      </c>
      <c r="C1133" s="25" t="s">
        <v>229</v>
      </c>
      <c r="E1133" s="15" t="str">
        <f t="shared" si="41"/>
        <v>2Q2043</v>
      </c>
      <c r="F1133" s="16" t="str">
        <f>IF(COUNTIF(C1129:C1131,"&gt;0")&lt;3,"N/A",AVERAGE(C1129:C1131))</f>
        <v>N/A</v>
      </c>
    </row>
    <row r="1134" spans="1:6">
      <c r="A1134" s="18">
        <f t="shared" si="40"/>
        <v>52371</v>
      </c>
      <c r="B1134" s="19">
        <v>52371</v>
      </c>
      <c r="C1134" s="25" t="s">
        <v>229</v>
      </c>
      <c r="E1134" s="15" t="str">
        <f t="shared" si="41"/>
        <v>2Q2043</v>
      </c>
      <c r="F1134" s="16" t="str">
        <f>+F1133</f>
        <v>N/A</v>
      </c>
    </row>
    <row r="1135" spans="1:6">
      <c r="A1135" s="9">
        <f t="shared" si="40"/>
        <v>52402</v>
      </c>
      <c r="B1135" s="10">
        <v>52402</v>
      </c>
      <c r="C1135" s="25" t="s">
        <v>229</v>
      </c>
      <c r="E1135" s="15" t="str">
        <f t="shared" si="41"/>
        <v>2Q2043</v>
      </c>
      <c r="F1135" s="16" t="str">
        <f>+F1134</f>
        <v>N/A</v>
      </c>
    </row>
    <row r="1136" spans="1:6">
      <c r="A1136" s="9">
        <f t="shared" si="40"/>
        <v>52432</v>
      </c>
      <c r="B1136" s="10">
        <v>52432</v>
      </c>
      <c r="C1136" s="25" t="s">
        <v>229</v>
      </c>
      <c r="E1136" s="15" t="str">
        <f t="shared" si="41"/>
        <v>3Q2043</v>
      </c>
      <c r="F1136" s="16" t="str">
        <f>IF(COUNTIF(C1132:C1134,"&gt;0")&lt;3,"N/A",AVERAGE(C1132:C1134))</f>
        <v>N/A</v>
      </c>
    </row>
    <row r="1137" spans="1:6">
      <c r="A1137" s="18">
        <f t="shared" si="40"/>
        <v>52463</v>
      </c>
      <c r="B1137" s="19">
        <v>52463</v>
      </c>
      <c r="C1137" s="25" t="s">
        <v>229</v>
      </c>
      <c r="E1137" s="15" t="str">
        <f t="shared" si="41"/>
        <v>3Q2043</v>
      </c>
      <c r="F1137" s="16" t="str">
        <f>+F1136</f>
        <v>N/A</v>
      </c>
    </row>
    <row r="1138" spans="1:6">
      <c r="A1138" s="9">
        <f t="shared" si="40"/>
        <v>52494</v>
      </c>
      <c r="B1138" s="10">
        <v>52494</v>
      </c>
      <c r="C1138" s="25" t="s">
        <v>229</v>
      </c>
      <c r="E1138" s="15" t="str">
        <f t="shared" si="41"/>
        <v>3Q2043</v>
      </c>
      <c r="F1138" s="16" t="str">
        <f>+F1137</f>
        <v>N/A</v>
      </c>
    </row>
    <row r="1139" spans="1:6">
      <c r="A1139" s="9">
        <f t="shared" si="40"/>
        <v>52524</v>
      </c>
      <c r="B1139" s="10">
        <v>52524</v>
      </c>
      <c r="C1139" s="25" t="s">
        <v>229</v>
      </c>
      <c r="E1139" s="15" t="str">
        <f t="shared" si="41"/>
        <v>4Q2043</v>
      </c>
      <c r="F1139" s="16" t="str">
        <f>IF(COUNTIF(C1135:C1137,"&gt;0")&lt;3,"N/A",AVERAGE(C1135:C1137))</f>
        <v>N/A</v>
      </c>
    </row>
    <row r="1140" spans="1:6">
      <c r="A1140" s="18">
        <f t="shared" si="40"/>
        <v>52555</v>
      </c>
      <c r="B1140" s="19">
        <v>52555</v>
      </c>
      <c r="C1140" s="25" t="s">
        <v>229</v>
      </c>
      <c r="E1140" s="15" t="str">
        <f t="shared" si="41"/>
        <v>4Q2043</v>
      </c>
      <c r="F1140" s="16" t="str">
        <f>+F1139</f>
        <v>N/A</v>
      </c>
    </row>
    <row r="1141" spans="1:6">
      <c r="A1141" s="9">
        <f t="shared" si="40"/>
        <v>52585</v>
      </c>
      <c r="B1141" s="10">
        <v>52585</v>
      </c>
      <c r="C1141" s="25" t="s">
        <v>229</v>
      </c>
      <c r="E1141" s="15" t="str">
        <f t="shared" si="41"/>
        <v>4Q2043</v>
      </c>
      <c r="F1141" s="16" t="str">
        <f>+F1140</f>
        <v>N/A</v>
      </c>
    </row>
    <row r="1142" spans="1:6">
      <c r="A1142" s="9">
        <f t="shared" si="40"/>
        <v>52616</v>
      </c>
      <c r="B1142" s="10">
        <v>52616</v>
      </c>
      <c r="C1142" s="25" t="s">
        <v>229</v>
      </c>
      <c r="E1142" s="15" t="str">
        <f t="shared" si="41"/>
        <v>1Q2044</v>
      </c>
      <c r="F1142" s="16" t="str">
        <f>IF(COUNTIF(C1138:C1140,"&gt;0")&lt;3,"N/A",AVERAGE(C1138:C1140))</f>
        <v>N/A</v>
      </c>
    </row>
    <row r="1143" spans="1:6">
      <c r="A1143" s="18">
        <f t="shared" si="40"/>
        <v>52647</v>
      </c>
      <c r="B1143" s="19">
        <v>52647</v>
      </c>
      <c r="C1143" s="25" t="s">
        <v>229</v>
      </c>
      <c r="E1143" s="15" t="str">
        <f t="shared" si="41"/>
        <v>1Q2044</v>
      </c>
      <c r="F1143" s="16" t="str">
        <f>+F1142</f>
        <v>N/A</v>
      </c>
    </row>
    <row r="1144" spans="1:6">
      <c r="A1144" s="9">
        <f t="shared" si="40"/>
        <v>52676</v>
      </c>
      <c r="B1144" s="10">
        <v>52676</v>
      </c>
      <c r="C1144" s="25" t="s">
        <v>229</v>
      </c>
      <c r="E1144" s="15" t="str">
        <f t="shared" si="41"/>
        <v>1Q2044</v>
      </c>
      <c r="F1144" s="16" t="str">
        <f>+F1143</f>
        <v>N/A</v>
      </c>
    </row>
    <row r="1145" spans="1:6">
      <c r="A1145" s="9">
        <f t="shared" si="40"/>
        <v>52707</v>
      </c>
      <c r="B1145" s="10">
        <v>52707</v>
      </c>
      <c r="C1145" s="25" t="s">
        <v>229</v>
      </c>
      <c r="E1145" s="15" t="str">
        <f t="shared" si="41"/>
        <v>2Q2044</v>
      </c>
      <c r="F1145" s="16" t="str">
        <f>IF(COUNTIF(C1141:C1143,"&gt;0")&lt;3,"N/A",AVERAGE(C1141:C1143))</f>
        <v>N/A</v>
      </c>
    </row>
    <row r="1146" spans="1:6">
      <c r="A1146" s="18">
        <f t="shared" si="40"/>
        <v>52737</v>
      </c>
      <c r="B1146" s="19">
        <v>52737</v>
      </c>
      <c r="C1146" s="25" t="s">
        <v>229</v>
      </c>
      <c r="E1146" s="15" t="str">
        <f t="shared" si="41"/>
        <v>2Q2044</v>
      </c>
      <c r="F1146" s="16" t="str">
        <f>+F1145</f>
        <v>N/A</v>
      </c>
    </row>
    <row r="1147" spans="1:6">
      <c r="A1147" s="9">
        <f t="shared" si="40"/>
        <v>52768</v>
      </c>
      <c r="B1147" s="10">
        <v>52768</v>
      </c>
      <c r="C1147" s="25" t="s">
        <v>229</v>
      </c>
      <c r="E1147" s="15" t="str">
        <f t="shared" si="41"/>
        <v>2Q2044</v>
      </c>
      <c r="F1147" s="16" t="str">
        <f>+F1146</f>
        <v>N/A</v>
      </c>
    </row>
    <row r="1148" spans="1:6">
      <c r="A1148" s="9">
        <f t="shared" si="40"/>
        <v>52798</v>
      </c>
      <c r="B1148" s="10">
        <v>52798</v>
      </c>
      <c r="C1148" s="25" t="s">
        <v>229</v>
      </c>
      <c r="E1148" s="15" t="str">
        <f t="shared" si="41"/>
        <v>3Q2044</v>
      </c>
      <c r="F1148" s="16" t="str">
        <f>IF(COUNTIF(C1144:C1146,"&gt;0")&lt;3,"N/A",AVERAGE(C1144:C1146))</f>
        <v>N/A</v>
      </c>
    </row>
    <row r="1149" spans="1:6">
      <c r="A1149" s="18">
        <f t="shared" si="40"/>
        <v>52829</v>
      </c>
      <c r="B1149" s="19">
        <v>52829</v>
      </c>
      <c r="C1149" s="25" t="s">
        <v>229</v>
      </c>
      <c r="E1149" s="15" t="str">
        <f t="shared" si="41"/>
        <v>3Q2044</v>
      </c>
      <c r="F1149" s="16" t="str">
        <f>+F1148</f>
        <v>N/A</v>
      </c>
    </row>
    <row r="1150" spans="1:6">
      <c r="A1150" s="9">
        <f t="shared" si="40"/>
        <v>52860</v>
      </c>
      <c r="B1150" s="10">
        <v>52860</v>
      </c>
      <c r="C1150" s="25" t="s">
        <v>229</v>
      </c>
      <c r="E1150" s="15" t="str">
        <f t="shared" si="41"/>
        <v>3Q2044</v>
      </c>
      <c r="F1150" s="16" t="str">
        <f>+F1149</f>
        <v>N/A</v>
      </c>
    </row>
    <row r="1151" spans="1:6">
      <c r="A1151" s="9">
        <f t="shared" si="40"/>
        <v>52890</v>
      </c>
      <c r="B1151" s="10">
        <v>52890</v>
      </c>
      <c r="C1151" s="25" t="s">
        <v>229</v>
      </c>
      <c r="E1151" s="15" t="str">
        <f t="shared" si="41"/>
        <v>4Q2044</v>
      </c>
      <c r="F1151" s="16" t="str">
        <f>IF(COUNTIF(C1147:C1149,"&gt;0")&lt;3,"N/A",AVERAGE(C1147:C1149))</f>
        <v>N/A</v>
      </c>
    </row>
    <row r="1152" spans="1:6">
      <c r="A1152" s="18">
        <f t="shared" si="40"/>
        <v>52921</v>
      </c>
      <c r="B1152" s="19">
        <v>52921</v>
      </c>
      <c r="C1152" s="25" t="s">
        <v>229</v>
      </c>
      <c r="E1152" s="15" t="str">
        <f t="shared" si="41"/>
        <v>4Q2044</v>
      </c>
      <c r="F1152" s="16" t="str">
        <f>+F1151</f>
        <v>N/A</v>
      </c>
    </row>
    <row r="1153" spans="1:6">
      <c r="A1153" s="9">
        <f t="shared" si="40"/>
        <v>52951</v>
      </c>
      <c r="B1153" s="10">
        <v>52951</v>
      </c>
      <c r="C1153" s="25" t="s">
        <v>229</v>
      </c>
      <c r="E1153" s="15" t="str">
        <f t="shared" si="41"/>
        <v>4Q2044</v>
      </c>
      <c r="F1153" s="16" t="str">
        <f>+F1152</f>
        <v>N/A</v>
      </c>
    </row>
    <row r="1154" spans="1:6">
      <c r="A1154" s="9">
        <f t="shared" si="40"/>
        <v>52982</v>
      </c>
      <c r="B1154" s="10">
        <v>52982</v>
      </c>
      <c r="C1154" s="25" t="s">
        <v>229</v>
      </c>
      <c r="E1154" s="15" t="str">
        <f t="shared" si="41"/>
        <v>1Q2045</v>
      </c>
      <c r="F1154" s="16" t="str">
        <f>IF(COUNTIF(C1150:C1152,"&gt;0")&lt;3,"N/A",AVERAGE(C1150:C1152))</f>
        <v>N/A</v>
      </c>
    </row>
    <row r="1155" spans="1:6">
      <c r="A1155" s="18">
        <f t="shared" si="40"/>
        <v>53013</v>
      </c>
      <c r="B1155" s="19">
        <v>53013</v>
      </c>
      <c r="C1155" s="25" t="s">
        <v>229</v>
      </c>
      <c r="E1155" s="15" t="str">
        <f t="shared" si="41"/>
        <v>1Q2045</v>
      </c>
      <c r="F1155" s="16" t="str">
        <f>+F1154</f>
        <v>N/A</v>
      </c>
    </row>
    <row r="1156" spans="1:6">
      <c r="A1156" s="9">
        <f t="shared" si="40"/>
        <v>53041</v>
      </c>
      <c r="B1156" s="10">
        <v>53041</v>
      </c>
      <c r="C1156" s="25" t="s">
        <v>229</v>
      </c>
      <c r="E1156" s="15" t="str">
        <f t="shared" si="41"/>
        <v>1Q2045</v>
      </c>
      <c r="F1156" s="16" t="str">
        <f>+F1155</f>
        <v>N/A</v>
      </c>
    </row>
    <row r="1157" spans="1:6">
      <c r="A1157" s="9">
        <f t="shared" ref="A1157:A1165" si="42">+B1157</f>
        <v>53072</v>
      </c>
      <c r="B1157" s="10">
        <v>53072</v>
      </c>
      <c r="C1157" s="25" t="s">
        <v>229</v>
      </c>
      <c r="E1157" s="15" t="str">
        <f t="shared" si="41"/>
        <v>2Q2045</v>
      </c>
      <c r="F1157" s="16" t="str">
        <f>IF(COUNTIF(C1153:C1155,"&gt;0")&lt;3,"N/A",AVERAGE(C1153:C1155))</f>
        <v>N/A</v>
      </c>
    </row>
    <row r="1158" spans="1:6">
      <c r="A1158" s="18">
        <f t="shared" si="42"/>
        <v>53102</v>
      </c>
      <c r="B1158" s="19">
        <v>53102</v>
      </c>
      <c r="C1158" s="25" t="s">
        <v>229</v>
      </c>
      <c r="E1158" s="15" t="str">
        <f t="shared" si="41"/>
        <v>2Q2045</v>
      </c>
      <c r="F1158" s="16" t="str">
        <f>+F1157</f>
        <v>N/A</v>
      </c>
    </row>
    <row r="1159" spans="1:6">
      <c r="A1159" s="9">
        <f t="shared" si="42"/>
        <v>53133</v>
      </c>
      <c r="B1159" s="10">
        <v>53133</v>
      </c>
      <c r="C1159" s="25" t="s">
        <v>229</v>
      </c>
      <c r="E1159" s="15" t="str">
        <f t="shared" si="41"/>
        <v>2Q2045</v>
      </c>
      <c r="F1159" s="16" t="str">
        <f>+F1158</f>
        <v>N/A</v>
      </c>
    </row>
    <row r="1160" spans="1:6">
      <c r="A1160" s="9">
        <f t="shared" si="42"/>
        <v>53163</v>
      </c>
      <c r="B1160" s="10">
        <v>53163</v>
      </c>
      <c r="C1160" s="25" t="s">
        <v>229</v>
      </c>
      <c r="E1160" s="15" t="str">
        <f t="shared" si="41"/>
        <v>3Q2045</v>
      </c>
      <c r="F1160" s="16" t="str">
        <f>IF(COUNTIF(C1156:C1158,"&gt;0")&lt;3,"N/A",AVERAGE(C1156:C1158))</f>
        <v>N/A</v>
      </c>
    </row>
    <row r="1161" spans="1:6">
      <c r="A1161" s="18">
        <f t="shared" si="42"/>
        <v>53194</v>
      </c>
      <c r="B1161" s="19">
        <v>53194</v>
      </c>
      <c r="C1161" s="25" t="s">
        <v>229</v>
      </c>
      <c r="E1161" s="15" t="str">
        <f t="shared" si="41"/>
        <v>3Q2045</v>
      </c>
      <c r="F1161" s="16" t="str">
        <f>+F1160</f>
        <v>N/A</v>
      </c>
    </row>
    <row r="1162" spans="1:6">
      <c r="A1162" s="9">
        <f t="shared" si="42"/>
        <v>53225</v>
      </c>
      <c r="B1162" s="10">
        <v>53225</v>
      </c>
      <c r="C1162" s="25" t="s">
        <v>229</v>
      </c>
      <c r="E1162" s="15" t="str">
        <f t="shared" si="41"/>
        <v>3Q2045</v>
      </c>
      <c r="F1162" s="16" t="str">
        <f>+F1161</f>
        <v>N/A</v>
      </c>
    </row>
    <row r="1163" spans="1:6">
      <c r="A1163" s="9">
        <f t="shared" si="42"/>
        <v>53255</v>
      </c>
      <c r="B1163" s="10">
        <v>53255</v>
      </c>
      <c r="C1163" s="25" t="s">
        <v>229</v>
      </c>
      <c r="E1163" s="15" t="str">
        <f>IF(MONTH(B1163)&lt;4,"1",IF(MONTH(B1163)&lt;7,"2",IF(MONTH(B1163)&lt;10,"3","4")))&amp;"Q"&amp;YEAR(B1163)</f>
        <v>4Q2045</v>
      </c>
      <c r="F1163" s="16" t="str">
        <f>IF(COUNTIF(C1159:C1161,"&gt;0")&lt;3,"N/A",AVERAGE(C1159:C1161))</f>
        <v>N/A</v>
      </c>
    </row>
    <row r="1164" spans="1:6">
      <c r="A1164" s="18">
        <f t="shared" si="42"/>
        <v>53286</v>
      </c>
      <c r="B1164" s="19">
        <v>53286</v>
      </c>
      <c r="C1164" s="25" t="s">
        <v>229</v>
      </c>
      <c r="E1164" s="15" t="str">
        <f>IF(MONTH(B1164)&lt;4,"1",IF(MONTH(B1164)&lt;7,"2",IF(MONTH(B1164)&lt;10,"3","4")))&amp;"Q"&amp;YEAR(B1164)</f>
        <v>4Q2045</v>
      </c>
      <c r="F1164" s="16" t="str">
        <f>+F1163</f>
        <v>N/A</v>
      </c>
    </row>
    <row r="1165" spans="1:6">
      <c r="A1165" s="9">
        <f t="shared" si="42"/>
        <v>53316</v>
      </c>
      <c r="B1165" s="10">
        <v>53316</v>
      </c>
      <c r="C1165" s="25" t="s">
        <v>229</v>
      </c>
      <c r="E1165" s="15" t="str">
        <f>IF(MONTH(B1165)&lt;4,"1",IF(MONTH(B1165)&lt;7,"2",IF(MONTH(B1165)&lt;10,"3","4")))&amp;"Q"&amp;YEAR(B1165)</f>
        <v>4Q2045</v>
      </c>
      <c r="F1165" s="16" t="str">
        <f>+F1164</f>
        <v>N/A</v>
      </c>
    </row>
  </sheetData>
  <autoFilter ref="A1:C1165"/>
  <pageMargins left="0.75" right="0.75" top="1" bottom="1" header="0.5" footer="0.5"/>
  <pageSetup orientation="portrait" horizontalDpi="4294967292" verticalDpi="1200" r:id="rId1"/>
  <headerFooter alignWithMargins="0">
    <oddFooter>&amp;C&amp;"Calibri,Regular"&amp;11&amp;B&amp;K000000AEP CONFIDENTIAL</oddFooter>
    <evenFooter>&amp;C&amp;"Calibri,Regular"&amp;11&amp;B&amp;K000000AEP CONFIDENTIAL</evenFooter>
    <firstFooter>&amp;C&amp;"Calibri,Regular"&amp;11&amp;B&amp;K000000AEP CONFIDENTIAL</first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1218"/>
  <sheetViews>
    <sheetView topLeftCell="A319" zoomScale="75" zoomScaleNormal="75" zoomScaleSheetLayoutView="75" workbookViewId="0">
      <selection activeCell="R350" sqref="R350"/>
    </sheetView>
  </sheetViews>
  <sheetFormatPr defaultColWidth="11.42578125" defaultRowHeight="15"/>
  <cols>
    <col min="1" max="1" width="4.7109375" style="104" customWidth="1"/>
    <col min="2" max="2" width="7.85546875" style="106" customWidth="1"/>
    <col min="3" max="3" width="1.85546875" style="104" customWidth="1"/>
    <col min="4" max="4" width="56" style="104" customWidth="1"/>
    <col min="5" max="5" width="37.28515625" style="104" customWidth="1"/>
    <col min="6" max="6" width="26.140625" style="104" customWidth="1"/>
    <col min="7" max="7" width="20.7109375" style="104" customWidth="1"/>
    <col min="8" max="8" width="18.85546875" style="104" customWidth="1"/>
    <col min="9" max="9" width="9.85546875" style="104" customWidth="1"/>
    <col min="10" max="10" width="21.85546875" style="104" bestFit="1" customWidth="1"/>
    <col min="11" max="11" width="4.7109375" style="104" customWidth="1"/>
    <col min="12" max="12" width="21.140625" style="104" customWidth="1"/>
    <col min="13" max="13" width="19.42578125" style="105" customWidth="1"/>
    <col min="14" max="14" width="21.140625" style="104" customWidth="1"/>
    <col min="15" max="15" width="3.140625" style="104" customWidth="1"/>
    <col min="16" max="16" width="21.140625" style="104" customWidth="1"/>
    <col min="17" max="17" width="11.42578125" style="104" customWidth="1"/>
    <col min="18" max="18" width="20.5703125" style="104" bestFit="1" customWidth="1"/>
    <col min="19" max="256" width="11.42578125" style="104"/>
    <col min="257" max="257" width="4.7109375" style="104" customWidth="1"/>
    <col min="258" max="258" width="7.85546875" style="104" customWidth="1"/>
    <col min="259" max="259" width="1.85546875" style="104" customWidth="1"/>
    <col min="260" max="260" width="56" style="104" customWidth="1"/>
    <col min="261" max="261" width="37.28515625" style="104" customWidth="1"/>
    <col min="262" max="262" width="26.140625" style="104" customWidth="1"/>
    <col min="263" max="263" width="20.7109375" style="104" customWidth="1"/>
    <col min="264" max="264" width="18.85546875" style="104" customWidth="1"/>
    <col min="265" max="265" width="9.85546875" style="104" customWidth="1"/>
    <col min="266" max="266" width="21.85546875" style="104" bestFit="1" customWidth="1"/>
    <col min="267" max="267" width="4.7109375" style="104" customWidth="1"/>
    <col min="268" max="268" width="21.140625" style="104" customWidth="1"/>
    <col min="269" max="269" width="19.42578125" style="104" customWidth="1"/>
    <col min="270" max="270" width="21.140625" style="104" customWidth="1"/>
    <col min="271" max="271" width="3.140625" style="104" customWidth="1"/>
    <col min="272" max="272" width="21.140625" style="104" customWidth="1"/>
    <col min="273" max="273" width="11.42578125" style="104" customWidth="1"/>
    <col min="274" max="274" width="20.5703125" style="104" bestFit="1" customWidth="1"/>
    <col min="275" max="512" width="11.42578125" style="104"/>
    <col min="513" max="513" width="4.7109375" style="104" customWidth="1"/>
    <col min="514" max="514" width="7.85546875" style="104" customWidth="1"/>
    <col min="515" max="515" width="1.85546875" style="104" customWidth="1"/>
    <col min="516" max="516" width="56" style="104" customWidth="1"/>
    <col min="517" max="517" width="37.28515625" style="104" customWidth="1"/>
    <col min="518" max="518" width="26.140625" style="104" customWidth="1"/>
    <col min="519" max="519" width="20.7109375" style="104" customWidth="1"/>
    <col min="520" max="520" width="18.85546875" style="104" customWidth="1"/>
    <col min="521" max="521" width="9.85546875" style="104" customWidth="1"/>
    <col min="522" max="522" width="21.85546875" style="104" bestFit="1" customWidth="1"/>
    <col min="523" max="523" width="4.7109375" style="104" customWidth="1"/>
    <col min="524" max="524" width="21.140625" style="104" customWidth="1"/>
    <col min="525" max="525" width="19.42578125" style="104" customWidth="1"/>
    <col min="526" max="526" width="21.140625" style="104" customWidth="1"/>
    <col min="527" max="527" width="3.140625" style="104" customWidth="1"/>
    <col min="528" max="528" width="21.140625" style="104" customWidth="1"/>
    <col min="529" max="529" width="11.42578125" style="104" customWidth="1"/>
    <col min="530" max="530" width="20.5703125" style="104" bestFit="1" customWidth="1"/>
    <col min="531" max="768" width="11.42578125" style="104"/>
    <col min="769" max="769" width="4.7109375" style="104" customWidth="1"/>
    <col min="770" max="770" width="7.85546875" style="104" customWidth="1"/>
    <col min="771" max="771" width="1.85546875" style="104" customWidth="1"/>
    <col min="772" max="772" width="56" style="104" customWidth="1"/>
    <col min="773" max="773" width="37.28515625" style="104" customWidth="1"/>
    <col min="774" max="774" width="26.140625" style="104" customWidth="1"/>
    <col min="775" max="775" width="20.7109375" style="104" customWidth="1"/>
    <col min="776" max="776" width="18.85546875" style="104" customWidth="1"/>
    <col min="777" max="777" width="9.85546875" style="104" customWidth="1"/>
    <col min="778" max="778" width="21.85546875" style="104" bestFit="1" customWidth="1"/>
    <col min="779" max="779" width="4.7109375" style="104" customWidth="1"/>
    <col min="780" max="780" width="21.140625" style="104" customWidth="1"/>
    <col min="781" max="781" width="19.42578125" style="104" customWidth="1"/>
    <col min="782" max="782" width="21.140625" style="104" customWidth="1"/>
    <col min="783" max="783" width="3.140625" style="104" customWidth="1"/>
    <col min="784" max="784" width="21.140625" style="104" customWidth="1"/>
    <col min="785" max="785" width="11.42578125" style="104" customWidth="1"/>
    <col min="786" max="786" width="20.5703125" style="104" bestFit="1" customWidth="1"/>
    <col min="787" max="1024" width="11.42578125" style="104"/>
    <col min="1025" max="1025" width="4.7109375" style="104" customWidth="1"/>
    <col min="1026" max="1026" width="7.85546875" style="104" customWidth="1"/>
    <col min="1027" max="1027" width="1.85546875" style="104" customWidth="1"/>
    <col min="1028" max="1028" width="56" style="104" customWidth="1"/>
    <col min="1029" max="1029" width="37.28515625" style="104" customWidth="1"/>
    <col min="1030" max="1030" width="26.140625" style="104" customWidth="1"/>
    <col min="1031" max="1031" width="20.7109375" style="104" customWidth="1"/>
    <col min="1032" max="1032" width="18.85546875" style="104" customWidth="1"/>
    <col min="1033" max="1033" width="9.85546875" style="104" customWidth="1"/>
    <col min="1034" max="1034" width="21.85546875" style="104" bestFit="1" customWidth="1"/>
    <col min="1035" max="1035" width="4.7109375" style="104" customWidth="1"/>
    <col min="1036" max="1036" width="21.140625" style="104" customWidth="1"/>
    <col min="1037" max="1037" width="19.42578125" style="104" customWidth="1"/>
    <col min="1038" max="1038" width="21.140625" style="104" customWidth="1"/>
    <col min="1039" max="1039" width="3.140625" style="104" customWidth="1"/>
    <col min="1040" max="1040" width="21.140625" style="104" customWidth="1"/>
    <col min="1041" max="1041" width="11.42578125" style="104" customWidth="1"/>
    <col min="1042" max="1042" width="20.5703125" style="104" bestFit="1" customWidth="1"/>
    <col min="1043" max="1280" width="11.42578125" style="104"/>
    <col min="1281" max="1281" width="4.7109375" style="104" customWidth="1"/>
    <col min="1282" max="1282" width="7.85546875" style="104" customWidth="1"/>
    <col min="1283" max="1283" width="1.85546875" style="104" customWidth="1"/>
    <col min="1284" max="1284" width="56" style="104" customWidth="1"/>
    <col min="1285" max="1285" width="37.28515625" style="104" customWidth="1"/>
    <col min="1286" max="1286" width="26.140625" style="104" customWidth="1"/>
    <col min="1287" max="1287" width="20.7109375" style="104" customWidth="1"/>
    <col min="1288" max="1288" width="18.85546875" style="104" customWidth="1"/>
    <col min="1289" max="1289" width="9.85546875" style="104" customWidth="1"/>
    <col min="1290" max="1290" width="21.85546875" style="104" bestFit="1" customWidth="1"/>
    <col min="1291" max="1291" width="4.7109375" style="104" customWidth="1"/>
    <col min="1292" max="1292" width="21.140625" style="104" customWidth="1"/>
    <col min="1293" max="1293" width="19.42578125" style="104" customWidth="1"/>
    <col min="1294" max="1294" width="21.140625" style="104" customWidth="1"/>
    <col min="1295" max="1295" width="3.140625" style="104" customWidth="1"/>
    <col min="1296" max="1296" width="21.140625" style="104" customWidth="1"/>
    <col min="1297" max="1297" width="11.42578125" style="104" customWidth="1"/>
    <col min="1298" max="1298" width="20.5703125" style="104" bestFit="1" customWidth="1"/>
    <col min="1299" max="1536" width="11.42578125" style="104"/>
    <col min="1537" max="1537" width="4.7109375" style="104" customWidth="1"/>
    <col min="1538" max="1538" width="7.85546875" style="104" customWidth="1"/>
    <col min="1539" max="1539" width="1.85546875" style="104" customWidth="1"/>
    <col min="1540" max="1540" width="56" style="104" customWidth="1"/>
    <col min="1541" max="1541" width="37.28515625" style="104" customWidth="1"/>
    <col min="1542" max="1542" width="26.140625" style="104" customWidth="1"/>
    <col min="1543" max="1543" width="20.7109375" style="104" customWidth="1"/>
    <col min="1544" max="1544" width="18.85546875" style="104" customWidth="1"/>
    <col min="1545" max="1545" width="9.85546875" style="104" customWidth="1"/>
    <col min="1546" max="1546" width="21.85546875" style="104" bestFit="1" customWidth="1"/>
    <col min="1547" max="1547" width="4.7109375" style="104" customWidth="1"/>
    <col min="1548" max="1548" width="21.140625" style="104" customWidth="1"/>
    <col min="1549" max="1549" width="19.42578125" style="104" customWidth="1"/>
    <col min="1550" max="1550" width="21.140625" style="104" customWidth="1"/>
    <col min="1551" max="1551" width="3.140625" style="104" customWidth="1"/>
    <col min="1552" max="1552" width="21.140625" style="104" customWidth="1"/>
    <col min="1553" max="1553" width="11.42578125" style="104" customWidth="1"/>
    <col min="1554" max="1554" width="20.5703125" style="104" bestFit="1" customWidth="1"/>
    <col min="1555" max="1792" width="11.42578125" style="104"/>
    <col min="1793" max="1793" width="4.7109375" style="104" customWidth="1"/>
    <col min="1794" max="1794" width="7.85546875" style="104" customWidth="1"/>
    <col min="1795" max="1795" width="1.85546875" style="104" customWidth="1"/>
    <col min="1796" max="1796" width="56" style="104" customWidth="1"/>
    <col min="1797" max="1797" width="37.28515625" style="104" customWidth="1"/>
    <col min="1798" max="1798" width="26.140625" style="104" customWidth="1"/>
    <col min="1799" max="1799" width="20.7109375" style="104" customWidth="1"/>
    <col min="1800" max="1800" width="18.85546875" style="104" customWidth="1"/>
    <col min="1801" max="1801" width="9.85546875" style="104" customWidth="1"/>
    <col min="1802" max="1802" width="21.85546875" style="104" bestFit="1" customWidth="1"/>
    <col min="1803" max="1803" width="4.7109375" style="104" customWidth="1"/>
    <col min="1804" max="1804" width="21.140625" style="104" customWidth="1"/>
    <col min="1805" max="1805" width="19.42578125" style="104" customWidth="1"/>
    <col min="1806" max="1806" width="21.140625" style="104" customWidth="1"/>
    <col min="1807" max="1807" width="3.140625" style="104" customWidth="1"/>
    <col min="1808" max="1808" width="21.140625" style="104" customWidth="1"/>
    <col min="1809" max="1809" width="11.42578125" style="104" customWidth="1"/>
    <col min="1810" max="1810" width="20.5703125" style="104" bestFit="1" customWidth="1"/>
    <col min="1811" max="2048" width="11.42578125" style="104"/>
    <col min="2049" max="2049" width="4.7109375" style="104" customWidth="1"/>
    <col min="2050" max="2050" width="7.85546875" style="104" customWidth="1"/>
    <col min="2051" max="2051" width="1.85546875" style="104" customWidth="1"/>
    <col min="2052" max="2052" width="56" style="104" customWidth="1"/>
    <col min="2053" max="2053" width="37.28515625" style="104" customWidth="1"/>
    <col min="2054" max="2054" width="26.140625" style="104" customWidth="1"/>
    <col min="2055" max="2055" width="20.7109375" style="104" customWidth="1"/>
    <col min="2056" max="2056" width="18.85546875" style="104" customWidth="1"/>
    <col min="2057" max="2057" width="9.85546875" style="104" customWidth="1"/>
    <col min="2058" max="2058" width="21.85546875" style="104" bestFit="1" customWidth="1"/>
    <col min="2059" max="2059" width="4.7109375" style="104" customWidth="1"/>
    <col min="2060" max="2060" width="21.140625" style="104" customWidth="1"/>
    <col min="2061" max="2061" width="19.42578125" style="104" customWidth="1"/>
    <col min="2062" max="2062" width="21.140625" style="104" customWidth="1"/>
    <col min="2063" max="2063" width="3.140625" style="104" customWidth="1"/>
    <col min="2064" max="2064" width="21.140625" style="104" customWidth="1"/>
    <col min="2065" max="2065" width="11.42578125" style="104" customWidth="1"/>
    <col min="2066" max="2066" width="20.5703125" style="104" bestFit="1" customWidth="1"/>
    <col min="2067" max="2304" width="11.42578125" style="104"/>
    <col min="2305" max="2305" width="4.7109375" style="104" customWidth="1"/>
    <col min="2306" max="2306" width="7.85546875" style="104" customWidth="1"/>
    <col min="2307" max="2307" width="1.85546875" style="104" customWidth="1"/>
    <col min="2308" max="2308" width="56" style="104" customWidth="1"/>
    <col min="2309" max="2309" width="37.28515625" style="104" customWidth="1"/>
    <col min="2310" max="2310" width="26.140625" style="104" customWidth="1"/>
    <col min="2311" max="2311" width="20.7109375" style="104" customWidth="1"/>
    <col min="2312" max="2312" width="18.85546875" style="104" customWidth="1"/>
    <col min="2313" max="2313" width="9.85546875" style="104" customWidth="1"/>
    <col min="2314" max="2314" width="21.85546875" style="104" bestFit="1" customWidth="1"/>
    <col min="2315" max="2315" width="4.7109375" style="104" customWidth="1"/>
    <col min="2316" max="2316" width="21.140625" style="104" customWidth="1"/>
    <col min="2317" max="2317" width="19.42578125" style="104" customWidth="1"/>
    <col min="2318" max="2318" width="21.140625" style="104" customWidth="1"/>
    <col min="2319" max="2319" width="3.140625" style="104" customWidth="1"/>
    <col min="2320" max="2320" width="21.140625" style="104" customWidth="1"/>
    <col min="2321" max="2321" width="11.42578125" style="104" customWidth="1"/>
    <col min="2322" max="2322" width="20.5703125" style="104" bestFit="1" customWidth="1"/>
    <col min="2323" max="2560" width="11.42578125" style="104"/>
    <col min="2561" max="2561" width="4.7109375" style="104" customWidth="1"/>
    <col min="2562" max="2562" width="7.85546875" style="104" customWidth="1"/>
    <col min="2563" max="2563" width="1.85546875" style="104" customWidth="1"/>
    <col min="2564" max="2564" width="56" style="104" customWidth="1"/>
    <col min="2565" max="2565" width="37.28515625" style="104" customWidth="1"/>
    <col min="2566" max="2566" width="26.140625" style="104" customWidth="1"/>
    <col min="2567" max="2567" width="20.7109375" style="104" customWidth="1"/>
    <col min="2568" max="2568" width="18.85546875" style="104" customWidth="1"/>
    <col min="2569" max="2569" width="9.85546875" style="104" customWidth="1"/>
    <col min="2570" max="2570" width="21.85546875" style="104" bestFit="1" customWidth="1"/>
    <col min="2571" max="2571" width="4.7109375" style="104" customWidth="1"/>
    <col min="2572" max="2572" width="21.140625" style="104" customWidth="1"/>
    <col min="2573" max="2573" width="19.42578125" style="104" customWidth="1"/>
    <col min="2574" max="2574" width="21.140625" style="104" customWidth="1"/>
    <col min="2575" max="2575" width="3.140625" style="104" customWidth="1"/>
    <col min="2576" max="2576" width="21.140625" style="104" customWidth="1"/>
    <col min="2577" max="2577" width="11.42578125" style="104" customWidth="1"/>
    <col min="2578" max="2578" width="20.5703125" style="104" bestFit="1" customWidth="1"/>
    <col min="2579" max="2816" width="11.42578125" style="104"/>
    <col min="2817" max="2817" width="4.7109375" style="104" customWidth="1"/>
    <col min="2818" max="2818" width="7.85546875" style="104" customWidth="1"/>
    <col min="2819" max="2819" width="1.85546875" style="104" customWidth="1"/>
    <col min="2820" max="2820" width="56" style="104" customWidth="1"/>
    <col min="2821" max="2821" width="37.28515625" style="104" customWidth="1"/>
    <col min="2822" max="2822" width="26.140625" style="104" customWidth="1"/>
    <col min="2823" max="2823" width="20.7109375" style="104" customWidth="1"/>
    <col min="2824" max="2824" width="18.85546875" style="104" customWidth="1"/>
    <col min="2825" max="2825" width="9.85546875" style="104" customWidth="1"/>
    <col min="2826" max="2826" width="21.85546875" style="104" bestFit="1" customWidth="1"/>
    <col min="2827" max="2827" width="4.7109375" style="104" customWidth="1"/>
    <col min="2828" max="2828" width="21.140625" style="104" customWidth="1"/>
    <col min="2829" max="2829" width="19.42578125" style="104" customWidth="1"/>
    <col min="2830" max="2830" width="21.140625" style="104" customWidth="1"/>
    <col min="2831" max="2831" width="3.140625" style="104" customWidth="1"/>
    <col min="2832" max="2832" width="21.140625" style="104" customWidth="1"/>
    <col min="2833" max="2833" width="11.42578125" style="104" customWidth="1"/>
    <col min="2834" max="2834" width="20.5703125" style="104" bestFit="1" customWidth="1"/>
    <col min="2835" max="3072" width="11.42578125" style="104"/>
    <col min="3073" max="3073" width="4.7109375" style="104" customWidth="1"/>
    <col min="3074" max="3074" width="7.85546875" style="104" customWidth="1"/>
    <col min="3075" max="3075" width="1.85546875" style="104" customWidth="1"/>
    <col min="3076" max="3076" width="56" style="104" customWidth="1"/>
    <col min="3077" max="3077" width="37.28515625" style="104" customWidth="1"/>
    <col min="3078" max="3078" width="26.140625" style="104" customWidth="1"/>
    <col min="3079" max="3079" width="20.7109375" style="104" customWidth="1"/>
    <col min="3080" max="3080" width="18.85546875" style="104" customWidth="1"/>
    <col min="3081" max="3081" width="9.85546875" style="104" customWidth="1"/>
    <col min="3082" max="3082" width="21.85546875" style="104" bestFit="1" customWidth="1"/>
    <col min="3083" max="3083" width="4.7109375" style="104" customWidth="1"/>
    <col min="3084" max="3084" width="21.140625" style="104" customWidth="1"/>
    <col min="3085" max="3085" width="19.42578125" style="104" customWidth="1"/>
    <col min="3086" max="3086" width="21.140625" style="104" customWidth="1"/>
    <col min="3087" max="3087" width="3.140625" style="104" customWidth="1"/>
    <col min="3088" max="3088" width="21.140625" style="104" customWidth="1"/>
    <col min="3089" max="3089" width="11.42578125" style="104" customWidth="1"/>
    <col min="3090" max="3090" width="20.5703125" style="104" bestFit="1" customWidth="1"/>
    <col min="3091" max="3328" width="11.42578125" style="104"/>
    <col min="3329" max="3329" width="4.7109375" style="104" customWidth="1"/>
    <col min="3330" max="3330" width="7.85546875" style="104" customWidth="1"/>
    <col min="3331" max="3331" width="1.85546875" style="104" customWidth="1"/>
    <col min="3332" max="3332" width="56" style="104" customWidth="1"/>
    <col min="3333" max="3333" width="37.28515625" style="104" customWidth="1"/>
    <col min="3334" max="3334" width="26.140625" style="104" customWidth="1"/>
    <col min="3335" max="3335" width="20.7109375" style="104" customWidth="1"/>
    <col min="3336" max="3336" width="18.85546875" style="104" customWidth="1"/>
    <col min="3337" max="3337" width="9.85546875" style="104" customWidth="1"/>
    <col min="3338" max="3338" width="21.85546875" style="104" bestFit="1" customWidth="1"/>
    <col min="3339" max="3339" width="4.7109375" style="104" customWidth="1"/>
    <col min="3340" max="3340" width="21.140625" style="104" customWidth="1"/>
    <col min="3341" max="3341" width="19.42578125" style="104" customWidth="1"/>
    <col min="3342" max="3342" width="21.140625" style="104" customWidth="1"/>
    <col min="3343" max="3343" width="3.140625" style="104" customWidth="1"/>
    <col min="3344" max="3344" width="21.140625" style="104" customWidth="1"/>
    <col min="3345" max="3345" width="11.42578125" style="104" customWidth="1"/>
    <col min="3346" max="3346" width="20.5703125" style="104" bestFit="1" customWidth="1"/>
    <col min="3347" max="3584" width="11.42578125" style="104"/>
    <col min="3585" max="3585" width="4.7109375" style="104" customWidth="1"/>
    <col min="3586" max="3586" width="7.85546875" style="104" customWidth="1"/>
    <col min="3587" max="3587" width="1.85546875" style="104" customWidth="1"/>
    <col min="3588" max="3588" width="56" style="104" customWidth="1"/>
    <col min="3589" max="3589" width="37.28515625" style="104" customWidth="1"/>
    <col min="3590" max="3590" width="26.140625" style="104" customWidth="1"/>
    <col min="3591" max="3591" width="20.7109375" style="104" customWidth="1"/>
    <col min="3592" max="3592" width="18.85546875" style="104" customWidth="1"/>
    <col min="3593" max="3593" width="9.85546875" style="104" customWidth="1"/>
    <col min="3594" max="3594" width="21.85546875" style="104" bestFit="1" customWidth="1"/>
    <col min="3595" max="3595" width="4.7109375" style="104" customWidth="1"/>
    <col min="3596" max="3596" width="21.140625" style="104" customWidth="1"/>
    <col min="3597" max="3597" width="19.42578125" style="104" customWidth="1"/>
    <col min="3598" max="3598" width="21.140625" style="104" customWidth="1"/>
    <col min="3599" max="3599" width="3.140625" style="104" customWidth="1"/>
    <col min="3600" max="3600" width="21.140625" style="104" customWidth="1"/>
    <col min="3601" max="3601" width="11.42578125" style="104" customWidth="1"/>
    <col min="3602" max="3602" width="20.5703125" style="104" bestFit="1" customWidth="1"/>
    <col min="3603" max="3840" width="11.42578125" style="104"/>
    <col min="3841" max="3841" width="4.7109375" style="104" customWidth="1"/>
    <col min="3842" max="3842" width="7.85546875" style="104" customWidth="1"/>
    <col min="3843" max="3843" width="1.85546875" style="104" customWidth="1"/>
    <col min="3844" max="3844" width="56" style="104" customWidth="1"/>
    <col min="3845" max="3845" width="37.28515625" style="104" customWidth="1"/>
    <col min="3846" max="3846" width="26.140625" style="104" customWidth="1"/>
    <col min="3847" max="3847" width="20.7109375" style="104" customWidth="1"/>
    <col min="3848" max="3848" width="18.85546875" style="104" customWidth="1"/>
    <col min="3849" max="3849" width="9.85546875" style="104" customWidth="1"/>
    <col min="3850" max="3850" width="21.85546875" style="104" bestFit="1" customWidth="1"/>
    <col min="3851" max="3851" width="4.7109375" style="104" customWidth="1"/>
    <col min="3852" max="3852" width="21.140625" style="104" customWidth="1"/>
    <col min="3853" max="3853" width="19.42578125" style="104" customWidth="1"/>
    <col min="3854" max="3854" width="21.140625" style="104" customWidth="1"/>
    <col min="3855" max="3855" width="3.140625" style="104" customWidth="1"/>
    <col min="3856" max="3856" width="21.140625" style="104" customWidth="1"/>
    <col min="3857" max="3857" width="11.42578125" style="104" customWidth="1"/>
    <col min="3858" max="3858" width="20.5703125" style="104" bestFit="1" customWidth="1"/>
    <col min="3859" max="4096" width="11.42578125" style="104"/>
    <col min="4097" max="4097" width="4.7109375" style="104" customWidth="1"/>
    <col min="4098" max="4098" width="7.85546875" style="104" customWidth="1"/>
    <col min="4099" max="4099" width="1.85546875" style="104" customWidth="1"/>
    <col min="4100" max="4100" width="56" style="104" customWidth="1"/>
    <col min="4101" max="4101" width="37.28515625" style="104" customWidth="1"/>
    <col min="4102" max="4102" width="26.140625" style="104" customWidth="1"/>
    <col min="4103" max="4103" width="20.7109375" style="104" customWidth="1"/>
    <col min="4104" max="4104" width="18.85546875" style="104" customWidth="1"/>
    <col min="4105" max="4105" width="9.85546875" style="104" customWidth="1"/>
    <col min="4106" max="4106" width="21.85546875" style="104" bestFit="1" customWidth="1"/>
    <col min="4107" max="4107" width="4.7109375" style="104" customWidth="1"/>
    <col min="4108" max="4108" width="21.140625" style="104" customWidth="1"/>
    <col min="4109" max="4109" width="19.42578125" style="104" customWidth="1"/>
    <col min="4110" max="4110" width="21.140625" style="104" customWidth="1"/>
    <col min="4111" max="4111" width="3.140625" style="104" customWidth="1"/>
    <col min="4112" max="4112" width="21.140625" style="104" customWidth="1"/>
    <col min="4113" max="4113" width="11.42578125" style="104" customWidth="1"/>
    <col min="4114" max="4114" width="20.5703125" style="104" bestFit="1" customWidth="1"/>
    <col min="4115" max="4352" width="11.42578125" style="104"/>
    <col min="4353" max="4353" width="4.7109375" style="104" customWidth="1"/>
    <col min="4354" max="4354" width="7.85546875" style="104" customWidth="1"/>
    <col min="4355" max="4355" width="1.85546875" style="104" customWidth="1"/>
    <col min="4356" max="4356" width="56" style="104" customWidth="1"/>
    <col min="4357" max="4357" width="37.28515625" style="104" customWidth="1"/>
    <col min="4358" max="4358" width="26.140625" style="104" customWidth="1"/>
    <col min="4359" max="4359" width="20.7109375" style="104" customWidth="1"/>
    <col min="4360" max="4360" width="18.85546875" style="104" customWidth="1"/>
    <col min="4361" max="4361" width="9.85546875" style="104" customWidth="1"/>
    <col min="4362" max="4362" width="21.85546875" style="104" bestFit="1" customWidth="1"/>
    <col min="4363" max="4363" width="4.7109375" style="104" customWidth="1"/>
    <col min="4364" max="4364" width="21.140625" style="104" customWidth="1"/>
    <col min="4365" max="4365" width="19.42578125" style="104" customWidth="1"/>
    <col min="4366" max="4366" width="21.140625" style="104" customWidth="1"/>
    <col min="4367" max="4367" width="3.140625" style="104" customWidth="1"/>
    <col min="4368" max="4368" width="21.140625" style="104" customWidth="1"/>
    <col min="4369" max="4369" width="11.42578125" style="104" customWidth="1"/>
    <col min="4370" max="4370" width="20.5703125" style="104" bestFit="1" customWidth="1"/>
    <col min="4371" max="4608" width="11.42578125" style="104"/>
    <col min="4609" max="4609" width="4.7109375" style="104" customWidth="1"/>
    <col min="4610" max="4610" width="7.85546875" style="104" customWidth="1"/>
    <col min="4611" max="4611" width="1.85546875" style="104" customWidth="1"/>
    <col min="4612" max="4612" width="56" style="104" customWidth="1"/>
    <col min="4613" max="4613" width="37.28515625" style="104" customWidth="1"/>
    <col min="4614" max="4614" width="26.140625" style="104" customWidth="1"/>
    <col min="4615" max="4615" width="20.7109375" style="104" customWidth="1"/>
    <col min="4616" max="4616" width="18.85546875" style="104" customWidth="1"/>
    <col min="4617" max="4617" width="9.85546875" style="104" customWidth="1"/>
    <col min="4618" max="4618" width="21.85546875" style="104" bestFit="1" customWidth="1"/>
    <col min="4619" max="4619" width="4.7109375" style="104" customWidth="1"/>
    <col min="4620" max="4620" width="21.140625" style="104" customWidth="1"/>
    <col min="4621" max="4621" width="19.42578125" style="104" customWidth="1"/>
    <col min="4622" max="4622" width="21.140625" style="104" customWidth="1"/>
    <col min="4623" max="4623" width="3.140625" style="104" customWidth="1"/>
    <col min="4624" max="4624" width="21.140625" style="104" customWidth="1"/>
    <col min="4625" max="4625" width="11.42578125" style="104" customWidth="1"/>
    <col min="4626" max="4626" width="20.5703125" style="104" bestFit="1" customWidth="1"/>
    <col min="4627" max="4864" width="11.42578125" style="104"/>
    <col min="4865" max="4865" width="4.7109375" style="104" customWidth="1"/>
    <col min="4866" max="4866" width="7.85546875" style="104" customWidth="1"/>
    <col min="4867" max="4867" width="1.85546875" style="104" customWidth="1"/>
    <col min="4868" max="4868" width="56" style="104" customWidth="1"/>
    <col min="4869" max="4869" width="37.28515625" style="104" customWidth="1"/>
    <col min="4870" max="4870" width="26.140625" style="104" customWidth="1"/>
    <col min="4871" max="4871" width="20.7109375" style="104" customWidth="1"/>
    <col min="4872" max="4872" width="18.85546875" style="104" customWidth="1"/>
    <col min="4873" max="4873" width="9.85546875" style="104" customWidth="1"/>
    <col min="4874" max="4874" width="21.85546875" style="104" bestFit="1" customWidth="1"/>
    <col min="4875" max="4875" width="4.7109375" style="104" customWidth="1"/>
    <col min="4876" max="4876" width="21.140625" style="104" customWidth="1"/>
    <col min="4877" max="4877" width="19.42578125" style="104" customWidth="1"/>
    <col min="4878" max="4878" width="21.140625" style="104" customWidth="1"/>
    <col min="4879" max="4879" width="3.140625" style="104" customWidth="1"/>
    <col min="4880" max="4880" width="21.140625" style="104" customWidth="1"/>
    <col min="4881" max="4881" width="11.42578125" style="104" customWidth="1"/>
    <col min="4882" max="4882" width="20.5703125" style="104" bestFit="1" customWidth="1"/>
    <col min="4883" max="5120" width="11.42578125" style="104"/>
    <col min="5121" max="5121" width="4.7109375" style="104" customWidth="1"/>
    <col min="5122" max="5122" width="7.85546875" style="104" customWidth="1"/>
    <col min="5123" max="5123" width="1.85546875" style="104" customWidth="1"/>
    <col min="5124" max="5124" width="56" style="104" customWidth="1"/>
    <col min="5125" max="5125" width="37.28515625" style="104" customWidth="1"/>
    <col min="5126" max="5126" width="26.140625" style="104" customWidth="1"/>
    <col min="5127" max="5127" width="20.7109375" style="104" customWidth="1"/>
    <col min="5128" max="5128" width="18.85546875" style="104" customWidth="1"/>
    <col min="5129" max="5129" width="9.85546875" style="104" customWidth="1"/>
    <col min="5130" max="5130" width="21.85546875" style="104" bestFit="1" customWidth="1"/>
    <col min="5131" max="5131" width="4.7109375" style="104" customWidth="1"/>
    <col min="5132" max="5132" width="21.140625" style="104" customWidth="1"/>
    <col min="5133" max="5133" width="19.42578125" style="104" customWidth="1"/>
    <col min="5134" max="5134" width="21.140625" style="104" customWidth="1"/>
    <col min="5135" max="5135" width="3.140625" style="104" customWidth="1"/>
    <col min="5136" max="5136" width="21.140625" style="104" customWidth="1"/>
    <col min="5137" max="5137" width="11.42578125" style="104" customWidth="1"/>
    <col min="5138" max="5138" width="20.5703125" style="104" bestFit="1" customWidth="1"/>
    <col min="5139" max="5376" width="11.42578125" style="104"/>
    <col min="5377" max="5377" width="4.7109375" style="104" customWidth="1"/>
    <col min="5378" max="5378" width="7.85546875" style="104" customWidth="1"/>
    <col min="5379" max="5379" width="1.85546875" style="104" customWidth="1"/>
    <col min="5380" max="5380" width="56" style="104" customWidth="1"/>
    <col min="5381" max="5381" width="37.28515625" style="104" customWidth="1"/>
    <col min="5382" max="5382" width="26.140625" style="104" customWidth="1"/>
    <col min="5383" max="5383" width="20.7109375" style="104" customWidth="1"/>
    <col min="5384" max="5384" width="18.85546875" style="104" customWidth="1"/>
    <col min="5385" max="5385" width="9.85546875" style="104" customWidth="1"/>
    <col min="5386" max="5386" width="21.85546875" style="104" bestFit="1" customWidth="1"/>
    <col min="5387" max="5387" width="4.7109375" style="104" customWidth="1"/>
    <col min="5388" max="5388" width="21.140625" style="104" customWidth="1"/>
    <col min="5389" max="5389" width="19.42578125" style="104" customWidth="1"/>
    <col min="5390" max="5390" width="21.140625" style="104" customWidth="1"/>
    <col min="5391" max="5391" width="3.140625" style="104" customWidth="1"/>
    <col min="5392" max="5392" width="21.140625" style="104" customWidth="1"/>
    <col min="5393" max="5393" width="11.42578125" style="104" customWidth="1"/>
    <col min="5394" max="5394" width="20.5703125" style="104" bestFit="1" customWidth="1"/>
    <col min="5395" max="5632" width="11.42578125" style="104"/>
    <col min="5633" max="5633" width="4.7109375" style="104" customWidth="1"/>
    <col min="5634" max="5634" width="7.85546875" style="104" customWidth="1"/>
    <col min="5635" max="5635" width="1.85546875" style="104" customWidth="1"/>
    <col min="5636" max="5636" width="56" style="104" customWidth="1"/>
    <col min="5637" max="5637" width="37.28515625" style="104" customWidth="1"/>
    <col min="5638" max="5638" width="26.140625" style="104" customWidth="1"/>
    <col min="5639" max="5639" width="20.7109375" style="104" customWidth="1"/>
    <col min="5640" max="5640" width="18.85546875" style="104" customWidth="1"/>
    <col min="5641" max="5641" width="9.85546875" style="104" customWidth="1"/>
    <col min="5642" max="5642" width="21.85546875" style="104" bestFit="1" customWidth="1"/>
    <col min="5643" max="5643" width="4.7109375" style="104" customWidth="1"/>
    <col min="5644" max="5644" width="21.140625" style="104" customWidth="1"/>
    <col min="5645" max="5645" width="19.42578125" style="104" customWidth="1"/>
    <col min="5646" max="5646" width="21.140625" style="104" customWidth="1"/>
    <col min="5647" max="5647" width="3.140625" style="104" customWidth="1"/>
    <col min="5648" max="5648" width="21.140625" style="104" customWidth="1"/>
    <col min="5649" max="5649" width="11.42578125" style="104" customWidth="1"/>
    <col min="5650" max="5650" width="20.5703125" style="104" bestFit="1" customWidth="1"/>
    <col min="5651" max="5888" width="11.42578125" style="104"/>
    <col min="5889" max="5889" width="4.7109375" style="104" customWidth="1"/>
    <col min="5890" max="5890" width="7.85546875" style="104" customWidth="1"/>
    <col min="5891" max="5891" width="1.85546875" style="104" customWidth="1"/>
    <col min="5892" max="5892" width="56" style="104" customWidth="1"/>
    <col min="5893" max="5893" width="37.28515625" style="104" customWidth="1"/>
    <col min="5894" max="5894" width="26.140625" style="104" customWidth="1"/>
    <col min="5895" max="5895" width="20.7109375" style="104" customWidth="1"/>
    <col min="5896" max="5896" width="18.85546875" style="104" customWidth="1"/>
    <col min="5897" max="5897" width="9.85546875" style="104" customWidth="1"/>
    <col min="5898" max="5898" width="21.85546875" style="104" bestFit="1" customWidth="1"/>
    <col min="5899" max="5899" width="4.7109375" style="104" customWidth="1"/>
    <col min="5900" max="5900" width="21.140625" style="104" customWidth="1"/>
    <col min="5901" max="5901" width="19.42578125" style="104" customWidth="1"/>
    <col min="5902" max="5902" width="21.140625" style="104" customWidth="1"/>
    <col min="5903" max="5903" width="3.140625" style="104" customWidth="1"/>
    <col min="5904" max="5904" width="21.140625" style="104" customWidth="1"/>
    <col min="5905" max="5905" width="11.42578125" style="104" customWidth="1"/>
    <col min="5906" max="5906" width="20.5703125" style="104" bestFit="1" customWidth="1"/>
    <col min="5907" max="6144" width="11.42578125" style="104"/>
    <col min="6145" max="6145" width="4.7109375" style="104" customWidth="1"/>
    <col min="6146" max="6146" width="7.85546875" style="104" customWidth="1"/>
    <col min="6147" max="6147" width="1.85546875" style="104" customWidth="1"/>
    <col min="6148" max="6148" width="56" style="104" customWidth="1"/>
    <col min="6149" max="6149" width="37.28515625" style="104" customWidth="1"/>
    <col min="6150" max="6150" width="26.140625" style="104" customWidth="1"/>
    <col min="6151" max="6151" width="20.7109375" style="104" customWidth="1"/>
    <col min="6152" max="6152" width="18.85546875" style="104" customWidth="1"/>
    <col min="6153" max="6153" width="9.85546875" style="104" customWidth="1"/>
    <col min="6154" max="6154" width="21.85546875" style="104" bestFit="1" customWidth="1"/>
    <col min="6155" max="6155" width="4.7109375" style="104" customWidth="1"/>
    <col min="6156" max="6156" width="21.140625" style="104" customWidth="1"/>
    <col min="6157" max="6157" width="19.42578125" style="104" customWidth="1"/>
    <col min="6158" max="6158" width="21.140625" style="104" customWidth="1"/>
    <col min="6159" max="6159" width="3.140625" style="104" customWidth="1"/>
    <col min="6160" max="6160" width="21.140625" style="104" customWidth="1"/>
    <col min="6161" max="6161" width="11.42578125" style="104" customWidth="1"/>
    <col min="6162" max="6162" width="20.5703125" style="104" bestFit="1" customWidth="1"/>
    <col min="6163" max="6400" width="11.42578125" style="104"/>
    <col min="6401" max="6401" width="4.7109375" style="104" customWidth="1"/>
    <col min="6402" max="6402" width="7.85546875" style="104" customWidth="1"/>
    <col min="6403" max="6403" width="1.85546875" style="104" customWidth="1"/>
    <col min="6404" max="6404" width="56" style="104" customWidth="1"/>
    <col min="6405" max="6405" width="37.28515625" style="104" customWidth="1"/>
    <col min="6406" max="6406" width="26.140625" style="104" customWidth="1"/>
    <col min="6407" max="6407" width="20.7109375" style="104" customWidth="1"/>
    <col min="6408" max="6408" width="18.85546875" style="104" customWidth="1"/>
    <col min="6409" max="6409" width="9.85546875" style="104" customWidth="1"/>
    <col min="6410" max="6410" width="21.85546875" style="104" bestFit="1" customWidth="1"/>
    <col min="6411" max="6411" width="4.7109375" style="104" customWidth="1"/>
    <col min="6412" max="6412" width="21.140625" style="104" customWidth="1"/>
    <col min="6413" max="6413" width="19.42578125" style="104" customWidth="1"/>
    <col min="6414" max="6414" width="21.140625" style="104" customWidth="1"/>
    <col min="6415" max="6415" width="3.140625" style="104" customWidth="1"/>
    <col min="6416" max="6416" width="21.140625" style="104" customWidth="1"/>
    <col min="6417" max="6417" width="11.42578125" style="104" customWidth="1"/>
    <col min="6418" max="6418" width="20.5703125" style="104" bestFit="1" customWidth="1"/>
    <col min="6419" max="6656" width="11.42578125" style="104"/>
    <col min="6657" max="6657" width="4.7109375" style="104" customWidth="1"/>
    <col min="6658" max="6658" width="7.85546875" style="104" customWidth="1"/>
    <col min="6659" max="6659" width="1.85546875" style="104" customWidth="1"/>
    <col min="6660" max="6660" width="56" style="104" customWidth="1"/>
    <col min="6661" max="6661" width="37.28515625" style="104" customWidth="1"/>
    <col min="6662" max="6662" width="26.140625" style="104" customWidth="1"/>
    <col min="6663" max="6663" width="20.7109375" style="104" customWidth="1"/>
    <col min="6664" max="6664" width="18.85546875" style="104" customWidth="1"/>
    <col min="6665" max="6665" width="9.85546875" style="104" customWidth="1"/>
    <col min="6666" max="6666" width="21.85546875" style="104" bestFit="1" customWidth="1"/>
    <col min="6667" max="6667" width="4.7109375" style="104" customWidth="1"/>
    <col min="6668" max="6668" width="21.140625" style="104" customWidth="1"/>
    <col min="6669" max="6669" width="19.42578125" style="104" customWidth="1"/>
    <col min="6670" max="6670" width="21.140625" style="104" customWidth="1"/>
    <col min="6671" max="6671" width="3.140625" style="104" customWidth="1"/>
    <col min="6672" max="6672" width="21.140625" style="104" customWidth="1"/>
    <col min="6673" max="6673" width="11.42578125" style="104" customWidth="1"/>
    <col min="6674" max="6674" width="20.5703125" style="104" bestFit="1" customWidth="1"/>
    <col min="6675" max="6912" width="11.42578125" style="104"/>
    <col min="6913" max="6913" width="4.7109375" style="104" customWidth="1"/>
    <col min="6914" max="6914" width="7.85546875" style="104" customWidth="1"/>
    <col min="6915" max="6915" width="1.85546875" style="104" customWidth="1"/>
    <col min="6916" max="6916" width="56" style="104" customWidth="1"/>
    <col min="6917" max="6917" width="37.28515625" style="104" customWidth="1"/>
    <col min="6918" max="6918" width="26.140625" style="104" customWidth="1"/>
    <col min="6919" max="6919" width="20.7109375" style="104" customWidth="1"/>
    <col min="6920" max="6920" width="18.85546875" style="104" customWidth="1"/>
    <col min="6921" max="6921" width="9.85546875" style="104" customWidth="1"/>
    <col min="6922" max="6922" width="21.85546875" style="104" bestFit="1" customWidth="1"/>
    <col min="6923" max="6923" width="4.7109375" style="104" customWidth="1"/>
    <col min="6924" max="6924" width="21.140625" style="104" customWidth="1"/>
    <col min="6925" max="6925" width="19.42578125" style="104" customWidth="1"/>
    <col min="6926" max="6926" width="21.140625" style="104" customWidth="1"/>
    <col min="6927" max="6927" width="3.140625" style="104" customWidth="1"/>
    <col min="6928" max="6928" width="21.140625" style="104" customWidth="1"/>
    <col min="6929" max="6929" width="11.42578125" style="104" customWidth="1"/>
    <col min="6930" max="6930" width="20.5703125" style="104" bestFit="1" customWidth="1"/>
    <col min="6931" max="7168" width="11.42578125" style="104"/>
    <col min="7169" max="7169" width="4.7109375" style="104" customWidth="1"/>
    <col min="7170" max="7170" width="7.85546875" style="104" customWidth="1"/>
    <col min="7171" max="7171" width="1.85546875" style="104" customWidth="1"/>
    <col min="7172" max="7172" width="56" style="104" customWidth="1"/>
    <col min="7173" max="7173" width="37.28515625" style="104" customWidth="1"/>
    <col min="7174" max="7174" width="26.140625" style="104" customWidth="1"/>
    <col min="7175" max="7175" width="20.7109375" style="104" customWidth="1"/>
    <col min="7176" max="7176" width="18.85546875" style="104" customWidth="1"/>
    <col min="7177" max="7177" width="9.85546875" style="104" customWidth="1"/>
    <col min="7178" max="7178" width="21.85546875" style="104" bestFit="1" customWidth="1"/>
    <col min="7179" max="7179" width="4.7109375" style="104" customWidth="1"/>
    <col min="7180" max="7180" width="21.140625" style="104" customWidth="1"/>
    <col min="7181" max="7181" width="19.42578125" style="104" customWidth="1"/>
    <col min="7182" max="7182" width="21.140625" style="104" customWidth="1"/>
    <col min="7183" max="7183" width="3.140625" style="104" customWidth="1"/>
    <col min="7184" max="7184" width="21.140625" style="104" customWidth="1"/>
    <col min="7185" max="7185" width="11.42578125" style="104" customWidth="1"/>
    <col min="7186" max="7186" width="20.5703125" style="104" bestFit="1" customWidth="1"/>
    <col min="7187" max="7424" width="11.42578125" style="104"/>
    <col min="7425" max="7425" width="4.7109375" style="104" customWidth="1"/>
    <col min="7426" max="7426" width="7.85546875" style="104" customWidth="1"/>
    <col min="7427" max="7427" width="1.85546875" style="104" customWidth="1"/>
    <col min="7428" max="7428" width="56" style="104" customWidth="1"/>
    <col min="7429" max="7429" width="37.28515625" style="104" customWidth="1"/>
    <col min="7430" max="7430" width="26.140625" style="104" customWidth="1"/>
    <col min="7431" max="7431" width="20.7109375" style="104" customWidth="1"/>
    <col min="7432" max="7432" width="18.85546875" style="104" customWidth="1"/>
    <col min="7433" max="7433" width="9.85546875" style="104" customWidth="1"/>
    <col min="7434" max="7434" width="21.85546875" style="104" bestFit="1" customWidth="1"/>
    <col min="7435" max="7435" width="4.7109375" style="104" customWidth="1"/>
    <col min="7436" max="7436" width="21.140625" style="104" customWidth="1"/>
    <col min="7437" max="7437" width="19.42578125" style="104" customWidth="1"/>
    <col min="7438" max="7438" width="21.140625" style="104" customWidth="1"/>
    <col min="7439" max="7439" width="3.140625" style="104" customWidth="1"/>
    <col min="7440" max="7440" width="21.140625" style="104" customWidth="1"/>
    <col min="7441" max="7441" width="11.42578125" style="104" customWidth="1"/>
    <col min="7442" max="7442" width="20.5703125" style="104" bestFit="1" customWidth="1"/>
    <col min="7443" max="7680" width="11.42578125" style="104"/>
    <col min="7681" max="7681" width="4.7109375" style="104" customWidth="1"/>
    <col min="7682" max="7682" width="7.85546875" style="104" customWidth="1"/>
    <col min="7683" max="7683" width="1.85546875" style="104" customWidth="1"/>
    <col min="7684" max="7684" width="56" style="104" customWidth="1"/>
    <col min="7685" max="7685" width="37.28515625" style="104" customWidth="1"/>
    <col min="7686" max="7686" width="26.140625" style="104" customWidth="1"/>
    <col min="7687" max="7687" width="20.7109375" style="104" customWidth="1"/>
    <col min="7688" max="7688" width="18.85546875" style="104" customWidth="1"/>
    <col min="7689" max="7689" width="9.85546875" style="104" customWidth="1"/>
    <col min="7690" max="7690" width="21.85546875" style="104" bestFit="1" customWidth="1"/>
    <col min="7691" max="7691" width="4.7109375" style="104" customWidth="1"/>
    <col min="7692" max="7692" width="21.140625" style="104" customWidth="1"/>
    <col min="7693" max="7693" width="19.42578125" style="104" customWidth="1"/>
    <col min="7694" max="7694" width="21.140625" style="104" customWidth="1"/>
    <col min="7695" max="7695" width="3.140625" style="104" customWidth="1"/>
    <col min="7696" max="7696" width="21.140625" style="104" customWidth="1"/>
    <col min="7697" max="7697" width="11.42578125" style="104" customWidth="1"/>
    <col min="7698" max="7698" width="20.5703125" style="104" bestFit="1" customWidth="1"/>
    <col min="7699" max="7936" width="11.42578125" style="104"/>
    <col min="7937" max="7937" width="4.7109375" style="104" customWidth="1"/>
    <col min="7938" max="7938" width="7.85546875" style="104" customWidth="1"/>
    <col min="7939" max="7939" width="1.85546875" style="104" customWidth="1"/>
    <col min="7940" max="7940" width="56" style="104" customWidth="1"/>
    <col min="7941" max="7941" width="37.28515625" style="104" customWidth="1"/>
    <col min="7942" max="7942" width="26.140625" style="104" customWidth="1"/>
    <col min="7943" max="7943" width="20.7109375" style="104" customWidth="1"/>
    <col min="7944" max="7944" width="18.85546875" style="104" customWidth="1"/>
    <col min="7945" max="7945" width="9.85546875" style="104" customWidth="1"/>
    <col min="7946" max="7946" width="21.85546875" style="104" bestFit="1" customWidth="1"/>
    <col min="7947" max="7947" width="4.7109375" style="104" customWidth="1"/>
    <col min="7948" max="7948" width="21.140625" style="104" customWidth="1"/>
    <col min="7949" max="7949" width="19.42578125" style="104" customWidth="1"/>
    <col min="7950" max="7950" width="21.140625" style="104" customWidth="1"/>
    <col min="7951" max="7951" width="3.140625" style="104" customWidth="1"/>
    <col min="7952" max="7952" width="21.140625" style="104" customWidth="1"/>
    <col min="7953" max="7953" width="11.42578125" style="104" customWidth="1"/>
    <col min="7954" max="7954" width="20.5703125" style="104" bestFit="1" customWidth="1"/>
    <col min="7955" max="8192" width="11.42578125" style="104"/>
    <col min="8193" max="8193" width="4.7109375" style="104" customWidth="1"/>
    <col min="8194" max="8194" width="7.85546875" style="104" customWidth="1"/>
    <col min="8195" max="8195" width="1.85546875" style="104" customWidth="1"/>
    <col min="8196" max="8196" width="56" style="104" customWidth="1"/>
    <col min="8197" max="8197" width="37.28515625" style="104" customWidth="1"/>
    <col min="8198" max="8198" width="26.140625" style="104" customWidth="1"/>
    <col min="8199" max="8199" width="20.7109375" style="104" customWidth="1"/>
    <col min="8200" max="8200" width="18.85546875" style="104" customWidth="1"/>
    <col min="8201" max="8201" width="9.85546875" style="104" customWidth="1"/>
    <col min="8202" max="8202" width="21.85546875" style="104" bestFit="1" customWidth="1"/>
    <col min="8203" max="8203" width="4.7109375" style="104" customWidth="1"/>
    <col min="8204" max="8204" width="21.140625" style="104" customWidth="1"/>
    <col min="8205" max="8205" width="19.42578125" style="104" customWidth="1"/>
    <col min="8206" max="8206" width="21.140625" style="104" customWidth="1"/>
    <col min="8207" max="8207" width="3.140625" style="104" customWidth="1"/>
    <col min="8208" max="8208" width="21.140625" style="104" customWidth="1"/>
    <col min="8209" max="8209" width="11.42578125" style="104" customWidth="1"/>
    <col min="8210" max="8210" width="20.5703125" style="104" bestFit="1" customWidth="1"/>
    <col min="8211" max="8448" width="11.42578125" style="104"/>
    <col min="8449" max="8449" width="4.7109375" style="104" customWidth="1"/>
    <col min="8450" max="8450" width="7.85546875" style="104" customWidth="1"/>
    <col min="8451" max="8451" width="1.85546875" style="104" customWidth="1"/>
    <col min="8452" max="8452" width="56" style="104" customWidth="1"/>
    <col min="8453" max="8453" width="37.28515625" style="104" customWidth="1"/>
    <col min="8454" max="8454" width="26.140625" style="104" customWidth="1"/>
    <col min="8455" max="8455" width="20.7109375" style="104" customWidth="1"/>
    <col min="8456" max="8456" width="18.85546875" style="104" customWidth="1"/>
    <col min="8457" max="8457" width="9.85546875" style="104" customWidth="1"/>
    <col min="8458" max="8458" width="21.85546875" style="104" bestFit="1" customWidth="1"/>
    <col min="8459" max="8459" width="4.7109375" style="104" customWidth="1"/>
    <col min="8460" max="8460" width="21.140625" style="104" customWidth="1"/>
    <col min="8461" max="8461" width="19.42578125" style="104" customWidth="1"/>
    <col min="8462" max="8462" width="21.140625" style="104" customWidth="1"/>
    <col min="8463" max="8463" width="3.140625" style="104" customWidth="1"/>
    <col min="8464" max="8464" width="21.140625" style="104" customWidth="1"/>
    <col min="8465" max="8465" width="11.42578125" style="104" customWidth="1"/>
    <col min="8466" max="8466" width="20.5703125" style="104" bestFit="1" customWidth="1"/>
    <col min="8467" max="8704" width="11.42578125" style="104"/>
    <col min="8705" max="8705" width="4.7109375" style="104" customWidth="1"/>
    <col min="8706" max="8706" width="7.85546875" style="104" customWidth="1"/>
    <col min="8707" max="8707" width="1.85546875" style="104" customWidth="1"/>
    <col min="8708" max="8708" width="56" style="104" customWidth="1"/>
    <col min="8709" max="8709" width="37.28515625" style="104" customWidth="1"/>
    <col min="8710" max="8710" width="26.140625" style="104" customWidth="1"/>
    <col min="8711" max="8711" width="20.7109375" style="104" customWidth="1"/>
    <col min="8712" max="8712" width="18.85546875" style="104" customWidth="1"/>
    <col min="8713" max="8713" width="9.85546875" style="104" customWidth="1"/>
    <col min="8714" max="8714" width="21.85546875" style="104" bestFit="1" customWidth="1"/>
    <col min="8715" max="8715" width="4.7109375" style="104" customWidth="1"/>
    <col min="8716" max="8716" width="21.140625" style="104" customWidth="1"/>
    <col min="8717" max="8717" width="19.42578125" style="104" customWidth="1"/>
    <col min="8718" max="8718" width="21.140625" style="104" customWidth="1"/>
    <col min="8719" max="8719" width="3.140625" style="104" customWidth="1"/>
    <col min="8720" max="8720" width="21.140625" style="104" customWidth="1"/>
    <col min="8721" max="8721" width="11.42578125" style="104" customWidth="1"/>
    <col min="8722" max="8722" width="20.5703125" style="104" bestFit="1" customWidth="1"/>
    <col min="8723" max="8960" width="11.42578125" style="104"/>
    <col min="8961" max="8961" width="4.7109375" style="104" customWidth="1"/>
    <col min="8962" max="8962" width="7.85546875" style="104" customWidth="1"/>
    <col min="8963" max="8963" width="1.85546875" style="104" customWidth="1"/>
    <col min="8964" max="8964" width="56" style="104" customWidth="1"/>
    <col min="8965" max="8965" width="37.28515625" style="104" customWidth="1"/>
    <col min="8966" max="8966" width="26.140625" style="104" customWidth="1"/>
    <col min="8967" max="8967" width="20.7109375" style="104" customWidth="1"/>
    <col min="8968" max="8968" width="18.85546875" style="104" customWidth="1"/>
    <col min="8969" max="8969" width="9.85546875" style="104" customWidth="1"/>
    <col min="8970" max="8970" width="21.85546875" style="104" bestFit="1" customWidth="1"/>
    <col min="8971" max="8971" width="4.7109375" style="104" customWidth="1"/>
    <col min="8972" max="8972" width="21.140625" style="104" customWidth="1"/>
    <col min="8973" max="8973" width="19.42578125" style="104" customWidth="1"/>
    <col min="8974" max="8974" width="21.140625" style="104" customWidth="1"/>
    <col min="8975" max="8975" width="3.140625" style="104" customWidth="1"/>
    <col min="8976" max="8976" width="21.140625" style="104" customWidth="1"/>
    <col min="8977" max="8977" width="11.42578125" style="104" customWidth="1"/>
    <col min="8978" max="8978" width="20.5703125" style="104" bestFit="1" customWidth="1"/>
    <col min="8979" max="9216" width="11.42578125" style="104"/>
    <col min="9217" max="9217" width="4.7109375" style="104" customWidth="1"/>
    <col min="9218" max="9218" width="7.85546875" style="104" customWidth="1"/>
    <col min="9219" max="9219" width="1.85546875" style="104" customWidth="1"/>
    <col min="9220" max="9220" width="56" style="104" customWidth="1"/>
    <col min="9221" max="9221" width="37.28515625" style="104" customWidth="1"/>
    <col min="9222" max="9222" width="26.140625" style="104" customWidth="1"/>
    <col min="9223" max="9223" width="20.7109375" style="104" customWidth="1"/>
    <col min="9224" max="9224" width="18.85546875" style="104" customWidth="1"/>
    <col min="9225" max="9225" width="9.85546875" style="104" customWidth="1"/>
    <col min="9226" max="9226" width="21.85546875" style="104" bestFit="1" customWidth="1"/>
    <col min="9227" max="9227" width="4.7109375" style="104" customWidth="1"/>
    <col min="9228" max="9228" width="21.140625" style="104" customWidth="1"/>
    <col min="9229" max="9229" width="19.42578125" style="104" customWidth="1"/>
    <col min="9230" max="9230" width="21.140625" style="104" customWidth="1"/>
    <col min="9231" max="9231" width="3.140625" style="104" customWidth="1"/>
    <col min="9232" max="9232" width="21.140625" style="104" customWidth="1"/>
    <col min="9233" max="9233" width="11.42578125" style="104" customWidth="1"/>
    <col min="9234" max="9234" width="20.5703125" style="104" bestFit="1" customWidth="1"/>
    <col min="9235" max="9472" width="11.42578125" style="104"/>
    <col min="9473" max="9473" width="4.7109375" style="104" customWidth="1"/>
    <col min="9474" max="9474" width="7.85546875" style="104" customWidth="1"/>
    <col min="9475" max="9475" width="1.85546875" style="104" customWidth="1"/>
    <col min="9476" max="9476" width="56" style="104" customWidth="1"/>
    <col min="9477" max="9477" width="37.28515625" style="104" customWidth="1"/>
    <col min="9478" max="9478" width="26.140625" style="104" customWidth="1"/>
    <col min="9479" max="9479" width="20.7109375" style="104" customWidth="1"/>
    <col min="9480" max="9480" width="18.85546875" style="104" customWidth="1"/>
    <col min="9481" max="9481" width="9.85546875" style="104" customWidth="1"/>
    <col min="9482" max="9482" width="21.85546875" style="104" bestFit="1" customWidth="1"/>
    <col min="9483" max="9483" width="4.7109375" style="104" customWidth="1"/>
    <col min="9484" max="9484" width="21.140625" style="104" customWidth="1"/>
    <col min="9485" max="9485" width="19.42578125" style="104" customWidth="1"/>
    <col min="9486" max="9486" width="21.140625" style="104" customWidth="1"/>
    <col min="9487" max="9487" width="3.140625" style="104" customWidth="1"/>
    <col min="9488" max="9488" width="21.140625" style="104" customWidth="1"/>
    <col min="9489" max="9489" width="11.42578125" style="104" customWidth="1"/>
    <col min="9490" max="9490" width="20.5703125" style="104" bestFit="1" customWidth="1"/>
    <col min="9491" max="9728" width="11.42578125" style="104"/>
    <col min="9729" max="9729" width="4.7109375" style="104" customWidth="1"/>
    <col min="9730" max="9730" width="7.85546875" style="104" customWidth="1"/>
    <col min="9731" max="9731" width="1.85546875" style="104" customWidth="1"/>
    <col min="9732" max="9732" width="56" style="104" customWidth="1"/>
    <col min="9733" max="9733" width="37.28515625" style="104" customWidth="1"/>
    <col min="9734" max="9734" width="26.140625" style="104" customWidth="1"/>
    <col min="9735" max="9735" width="20.7109375" style="104" customWidth="1"/>
    <col min="9736" max="9736" width="18.85546875" style="104" customWidth="1"/>
    <col min="9737" max="9737" width="9.85546875" style="104" customWidth="1"/>
    <col min="9738" max="9738" width="21.85546875" style="104" bestFit="1" customWidth="1"/>
    <col min="9739" max="9739" width="4.7109375" style="104" customWidth="1"/>
    <col min="9740" max="9740" width="21.140625" style="104" customWidth="1"/>
    <col min="9741" max="9741" width="19.42578125" style="104" customWidth="1"/>
    <col min="9742" max="9742" width="21.140625" style="104" customWidth="1"/>
    <col min="9743" max="9743" width="3.140625" style="104" customWidth="1"/>
    <col min="9744" max="9744" width="21.140625" style="104" customWidth="1"/>
    <col min="9745" max="9745" width="11.42578125" style="104" customWidth="1"/>
    <col min="9746" max="9746" width="20.5703125" style="104" bestFit="1" customWidth="1"/>
    <col min="9747" max="9984" width="11.42578125" style="104"/>
    <col min="9985" max="9985" width="4.7109375" style="104" customWidth="1"/>
    <col min="9986" max="9986" width="7.85546875" style="104" customWidth="1"/>
    <col min="9987" max="9987" width="1.85546875" style="104" customWidth="1"/>
    <col min="9988" max="9988" width="56" style="104" customWidth="1"/>
    <col min="9989" max="9989" width="37.28515625" style="104" customWidth="1"/>
    <col min="9990" max="9990" width="26.140625" style="104" customWidth="1"/>
    <col min="9991" max="9991" width="20.7109375" style="104" customWidth="1"/>
    <col min="9992" max="9992" width="18.85546875" style="104" customWidth="1"/>
    <col min="9993" max="9993" width="9.85546875" style="104" customWidth="1"/>
    <col min="9994" max="9994" width="21.85546875" style="104" bestFit="1" customWidth="1"/>
    <col min="9995" max="9995" width="4.7109375" style="104" customWidth="1"/>
    <col min="9996" max="9996" width="21.140625" style="104" customWidth="1"/>
    <col min="9997" max="9997" width="19.42578125" style="104" customWidth="1"/>
    <col min="9998" max="9998" width="21.140625" style="104" customWidth="1"/>
    <col min="9999" max="9999" width="3.140625" style="104" customWidth="1"/>
    <col min="10000" max="10000" width="21.140625" style="104" customWidth="1"/>
    <col min="10001" max="10001" width="11.42578125" style="104" customWidth="1"/>
    <col min="10002" max="10002" width="20.5703125" style="104" bestFit="1" customWidth="1"/>
    <col min="10003" max="10240" width="11.42578125" style="104"/>
    <col min="10241" max="10241" width="4.7109375" style="104" customWidth="1"/>
    <col min="10242" max="10242" width="7.85546875" style="104" customWidth="1"/>
    <col min="10243" max="10243" width="1.85546875" style="104" customWidth="1"/>
    <col min="10244" max="10244" width="56" style="104" customWidth="1"/>
    <col min="10245" max="10245" width="37.28515625" style="104" customWidth="1"/>
    <col min="10246" max="10246" width="26.140625" style="104" customWidth="1"/>
    <col min="10247" max="10247" width="20.7109375" style="104" customWidth="1"/>
    <col min="10248" max="10248" width="18.85546875" style="104" customWidth="1"/>
    <col min="10249" max="10249" width="9.85546875" style="104" customWidth="1"/>
    <col min="10250" max="10250" width="21.85546875" style="104" bestFit="1" customWidth="1"/>
    <col min="10251" max="10251" width="4.7109375" style="104" customWidth="1"/>
    <col min="10252" max="10252" width="21.140625" style="104" customWidth="1"/>
    <col min="10253" max="10253" width="19.42578125" style="104" customWidth="1"/>
    <col min="10254" max="10254" width="21.140625" style="104" customWidth="1"/>
    <col min="10255" max="10255" width="3.140625" style="104" customWidth="1"/>
    <col min="10256" max="10256" width="21.140625" style="104" customWidth="1"/>
    <col min="10257" max="10257" width="11.42578125" style="104" customWidth="1"/>
    <col min="10258" max="10258" width="20.5703125" style="104" bestFit="1" customWidth="1"/>
    <col min="10259" max="10496" width="11.42578125" style="104"/>
    <col min="10497" max="10497" width="4.7109375" style="104" customWidth="1"/>
    <col min="10498" max="10498" width="7.85546875" style="104" customWidth="1"/>
    <col min="10499" max="10499" width="1.85546875" style="104" customWidth="1"/>
    <col min="10500" max="10500" width="56" style="104" customWidth="1"/>
    <col min="10501" max="10501" width="37.28515625" style="104" customWidth="1"/>
    <col min="10502" max="10502" width="26.140625" style="104" customWidth="1"/>
    <col min="10503" max="10503" width="20.7109375" style="104" customWidth="1"/>
    <col min="10504" max="10504" width="18.85546875" style="104" customWidth="1"/>
    <col min="10505" max="10505" width="9.85546875" style="104" customWidth="1"/>
    <col min="10506" max="10506" width="21.85546875" style="104" bestFit="1" customWidth="1"/>
    <col min="10507" max="10507" width="4.7109375" style="104" customWidth="1"/>
    <col min="10508" max="10508" width="21.140625" style="104" customWidth="1"/>
    <col min="10509" max="10509" width="19.42578125" style="104" customWidth="1"/>
    <col min="10510" max="10510" width="21.140625" style="104" customWidth="1"/>
    <col min="10511" max="10511" width="3.140625" style="104" customWidth="1"/>
    <col min="10512" max="10512" width="21.140625" style="104" customWidth="1"/>
    <col min="10513" max="10513" width="11.42578125" style="104" customWidth="1"/>
    <col min="10514" max="10514" width="20.5703125" style="104" bestFit="1" customWidth="1"/>
    <col min="10515" max="10752" width="11.42578125" style="104"/>
    <col min="10753" max="10753" width="4.7109375" style="104" customWidth="1"/>
    <col min="10754" max="10754" width="7.85546875" style="104" customWidth="1"/>
    <col min="10755" max="10755" width="1.85546875" style="104" customWidth="1"/>
    <col min="10756" max="10756" width="56" style="104" customWidth="1"/>
    <col min="10757" max="10757" width="37.28515625" style="104" customWidth="1"/>
    <col min="10758" max="10758" width="26.140625" style="104" customWidth="1"/>
    <col min="10759" max="10759" width="20.7109375" style="104" customWidth="1"/>
    <col min="10760" max="10760" width="18.85546875" style="104" customWidth="1"/>
    <col min="10761" max="10761" width="9.85546875" style="104" customWidth="1"/>
    <col min="10762" max="10762" width="21.85546875" style="104" bestFit="1" customWidth="1"/>
    <col min="10763" max="10763" width="4.7109375" style="104" customWidth="1"/>
    <col min="10764" max="10764" width="21.140625" style="104" customWidth="1"/>
    <col min="10765" max="10765" width="19.42578125" style="104" customWidth="1"/>
    <col min="10766" max="10766" width="21.140625" style="104" customWidth="1"/>
    <col min="10767" max="10767" width="3.140625" style="104" customWidth="1"/>
    <col min="10768" max="10768" width="21.140625" style="104" customWidth="1"/>
    <col min="10769" max="10769" width="11.42578125" style="104" customWidth="1"/>
    <col min="10770" max="10770" width="20.5703125" style="104" bestFit="1" customWidth="1"/>
    <col min="10771" max="11008" width="11.42578125" style="104"/>
    <col min="11009" max="11009" width="4.7109375" style="104" customWidth="1"/>
    <col min="11010" max="11010" width="7.85546875" style="104" customWidth="1"/>
    <col min="11011" max="11011" width="1.85546875" style="104" customWidth="1"/>
    <col min="11012" max="11012" width="56" style="104" customWidth="1"/>
    <col min="11013" max="11013" width="37.28515625" style="104" customWidth="1"/>
    <col min="11014" max="11014" width="26.140625" style="104" customWidth="1"/>
    <col min="11015" max="11015" width="20.7109375" style="104" customWidth="1"/>
    <col min="11016" max="11016" width="18.85546875" style="104" customWidth="1"/>
    <col min="11017" max="11017" width="9.85546875" style="104" customWidth="1"/>
    <col min="11018" max="11018" width="21.85546875" style="104" bestFit="1" customWidth="1"/>
    <col min="11019" max="11019" width="4.7109375" style="104" customWidth="1"/>
    <col min="11020" max="11020" width="21.140625" style="104" customWidth="1"/>
    <col min="11021" max="11021" width="19.42578125" style="104" customWidth="1"/>
    <col min="11022" max="11022" width="21.140625" style="104" customWidth="1"/>
    <col min="11023" max="11023" width="3.140625" style="104" customWidth="1"/>
    <col min="11024" max="11024" width="21.140625" style="104" customWidth="1"/>
    <col min="11025" max="11025" width="11.42578125" style="104" customWidth="1"/>
    <col min="11026" max="11026" width="20.5703125" style="104" bestFit="1" customWidth="1"/>
    <col min="11027" max="11264" width="11.42578125" style="104"/>
    <col min="11265" max="11265" width="4.7109375" style="104" customWidth="1"/>
    <col min="11266" max="11266" width="7.85546875" style="104" customWidth="1"/>
    <col min="11267" max="11267" width="1.85546875" style="104" customWidth="1"/>
    <col min="11268" max="11268" width="56" style="104" customWidth="1"/>
    <col min="11269" max="11269" width="37.28515625" style="104" customWidth="1"/>
    <col min="11270" max="11270" width="26.140625" style="104" customWidth="1"/>
    <col min="11271" max="11271" width="20.7109375" style="104" customWidth="1"/>
    <col min="11272" max="11272" width="18.85546875" style="104" customWidth="1"/>
    <col min="11273" max="11273" width="9.85546875" style="104" customWidth="1"/>
    <col min="11274" max="11274" width="21.85546875" style="104" bestFit="1" customWidth="1"/>
    <col min="11275" max="11275" width="4.7109375" style="104" customWidth="1"/>
    <col min="11276" max="11276" width="21.140625" style="104" customWidth="1"/>
    <col min="11277" max="11277" width="19.42578125" style="104" customWidth="1"/>
    <col min="11278" max="11278" width="21.140625" style="104" customWidth="1"/>
    <col min="11279" max="11279" width="3.140625" style="104" customWidth="1"/>
    <col min="11280" max="11280" width="21.140625" style="104" customWidth="1"/>
    <col min="11281" max="11281" width="11.42578125" style="104" customWidth="1"/>
    <col min="11282" max="11282" width="20.5703125" style="104" bestFit="1" customWidth="1"/>
    <col min="11283" max="11520" width="11.42578125" style="104"/>
    <col min="11521" max="11521" width="4.7109375" style="104" customWidth="1"/>
    <col min="11522" max="11522" width="7.85546875" style="104" customWidth="1"/>
    <col min="11523" max="11523" width="1.85546875" style="104" customWidth="1"/>
    <col min="11524" max="11524" width="56" style="104" customWidth="1"/>
    <col min="11525" max="11525" width="37.28515625" style="104" customWidth="1"/>
    <col min="11526" max="11526" width="26.140625" style="104" customWidth="1"/>
    <col min="11527" max="11527" width="20.7109375" style="104" customWidth="1"/>
    <col min="11528" max="11528" width="18.85546875" style="104" customWidth="1"/>
    <col min="11529" max="11529" width="9.85546875" style="104" customWidth="1"/>
    <col min="11530" max="11530" width="21.85546875" style="104" bestFit="1" customWidth="1"/>
    <col min="11531" max="11531" width="4.7109375" style="104" customWidth="1"/>
    <col min="11532" max="11532" width="21.140625" style="104" customWidth="1"/>
    <col min="11533" max="11533" width="19.42578125" style="104" customWidth="1"/>
    <col min="11534" max="11534" width="21.140625" style="104" customWidth="1"/>
    <col min="11535" max="11535" width="3.140625" style="104" customWidth="1"/>
    <col min="11536" max="11536" width="21.140625" style="104" customWidth="1"/>
    <col min="11537" max="11537" width="11.42578125" style="104" customWidth="1"/>
    <col min="11538" max="11538" width="20.5703125" style="104" bestFit="1" customWidth="1"/>
    <col min="11539" max="11776" width="11.42578125" style="104"/>
    <col min="11777" max="11777" width="4.7109375" style="104" customWidth="1"/>
    <col min="11778" max="11778" width="7.85546875" style="104" customWidth="1"/>
    <col min="11779" max="11779" width="1.85546875" style="104" customWidth="1"/>
    <col min="11780" max="11780" width="56" style="104" customWidth="1"/>
    <col min="11781" max="11781" width="37.28515625" style="104" customWidth="1"/>
    <col min="11782" max="11782" width="26.140625" style="104" customWidth="1"/>
    <col min="11783" max="11783" width="20.7109375" style="104" customWidth="1"/>
    <col min="11784" max="11784" width="18.85546875" style="104" customWidth="1"/>
    <col min="11785" max="11785" width="9.85546875" style="104" customWidth="1"/>
    <col min="11786" max="11786" width="21.85546875" style="104" bestFit="1" customWidth="1"/>
    <col min="11787" max="11787" width="4.7109375" style="104" customWidth="1"/>
    <col min="11788" max="11788" width="21.140625" style="104" customWidth="1"/>
    <col min="11789" max="11789" width="19.42578125" style="104" customWidth="1"/>
    <col min="11790" max="11790" width="21.140625" style="104" customWidth="1"/>
    <col min="11791" max="11791" width="3.140625" style="104" customWidth="1"/>
    <col min="11792" max="11792" width="21.140625" style="104" customWidth="1"/>
    <col min="11793" max="11793" width="11.42578125" style="104" customWidth="1"/>
    <col min="11794" max="11794" width="20.5703125" style="104" bestFit="1" customWidth="1"/>
    <col min="11795" max="12032" width="11.42578125" style="104"/>
    <col min="12033" max="12033" width="4.7109375" style="104" customWidth="1"/>
    <col min="12034" max="12034" width="7.85546875" style="104" customWidth="1"/>
    <col min="12035" max="12035" width="1.85546875" style="104" customWidth="1"/>
    <col min="12036" max="12036" width="56" style="104" customWidth="1"/>
    <col min="12037" max="12037" width="37.28515625" style="104" customWidth="1"/>
    <col min="12038" max="12038" width="26.140625" style="104" customWidth="1"/>
    <col min="12039" max="12039" width="20.7109375" style="104" customWidth="1"/>
    <col min="12040" max="12040" width="18.85546875" style="104" customWidth="1"/>
    <col min="12041" max="12041" width="9.85546875" style="104" customWidth="1"/>
    <col min="12042" max="12042" width="21.85546875" style="104" bestFit="1" customWidth="1"/>
    <col min="12043" max="12043" width="4.7109375" style="104" customWidth="1"/>
    <col min="12044" max="12044" width="21.140625" style="104" customWidth="1"/>
    <col min="12045" max="12045" width="19.42578125" style="104" customWidth="1"/>
    <col min="12046" max="12046" width="21.140625" style="104" customWidth="1"/>
    <col min="12047" max="12047" width="3.140625" style="104" customWidth="1"/>
    <col min="12048" max="12048" width="21.140625" style="104" customWidth="1"/>
    <col min="12049" max="12049" width="11.42578125" style="104" customWidth="1"/>
    <col min="12050" max="12050" width="20.5703125" style="104" bestFit="1" customWidth="1"/>
    <col min="12051" max="12288" width="11.42578125" style="104"/>
    <col min="12289" max="12289" width="4.7109375" style="104" customWidth="1"/>
    <col min="12290" max="12290" width="7.85546875" style="104" customWidth="1"/>
    <col min="12291" max="12291" width="1.85546875" style="104" customWidth="1"/>
    <col min="12292" max="12292" width="56" style="104" customWidth="1"/>
    <col min="12293" max="12293" width="37.28515625" style="104" customWidth="1"/>
    <col min="12294" max="12294" width="26.140625" style="104" customWidth="1"/>
    <col min="12295" max="12295" width="20.7109375" style="104" customWidth="1"/>
    <col min="12296" max="12296" width="18.85546875" style="104" customWidth="1"/>
    <col min="12297" max="12297" width="9.85546875" style="104" customWidth="1"/>
    <col min="12298" max="12298" width="21.85546875" style="104" bestFit="1" customWidth="1"/>
    <col min="12299" max="12299" width="4.7109375" style="104" customWidth="1"/>
    <col min="12300" max="12300" width="21.140625" style="104" customWidth="1"/>
    <col min="12301" max="12301" width="19.42578125" style="104" customWidth="1"/>
    <col min="12302" max="12302" width="21.140625" style="104" customWidth="1"/>
    <col min="12303" max="12303" width="3.140625" style="104" customWidth="1"/>
    <col min="12304" max="12304" width="21.140625" style="104" customWidth="1"/>
    <col min="12305" max="12305" width="11.42578125" style="104" customWidth="1"/>
    <col min="12306" max="12306" width="20.5703125" style="104" bestFit="1" customWidth="1"/>
    <col min="12307" max="12544" width="11.42578125" style="104"/>
    <col min="12545" max="12545" width="4.7109375" style="104" customWidth="1"/>
    <col min="12546" max="12546" width="7.85546875" style="104" customWidth="1"/>
    <col min="12547" max="12547" width="1.85546875" style="104" customWidth="1"/>
    <col min="12548" max="12548" width="56" style="104" customWidth="1"/>
    <col min="12549" max="12549" width="37.28515625" style="104" customWidth="1"/>
    <col min="12550" max="12550" width="26.140625" style="104" customWidth="1"/>
    <col min="12551" max="12551" width="20.7109375" style="104" customWidth="1"/>
    <col min="12552" max="12552" width="18.85546875" style="104" customWidth="1"/>
    <col min="12553" max="12553" width="9.85546875" style="104" customWidth="1"/>
    <col min="12554" max="12554" width="21.85546875" style="104" bestFit="1" customWidth="1"/>
    <col min="12555" max="12555" width="4.7109375" style="104" customWidth="1"/>
    <col min="12556" max="12556" width="21.140625" style="104" customWidth="1"/>
    <col min="12557" max="12557" width="19.42578125" style="104" customWidth="1"/>
    <col min="12558" max="12558" width="21.140625" style="104" customWidth="1"/>
    <col min="12559" max="12559" width="3.140625" style="104" customWidth="1"/>
    <col min="12560" max="12560" width="21.140625" style="104" customWidth="1"/>
    <col min="12561" max="12561" width="11.42578125" style="104" customWidth="1"/>
    <col min="12562" max="12562" width="20.5703125" style="104" bestFit="1" customWidth="1"/>
    <col min="12563" max="12800" width="11.42578125" style="104"/>
    <col min="12801" max="12801" width="4.7109375" style="104" customWidth="1"/>
    <col min="12802" max="12802" width="7.85546875" style="104" customWidth="1"/>
    <col min="12803" max="12803" width="1.85546875" style="104" customWidth="1"/>
    <col min="12804" max="12804" width="56" style="104" customWidth="1"/>
    <col min="12805" max="12805" width="37.28515625" style="104" customWidth="1"/>
    <col min="12806" max="12806" width="26.140625" style="104" customWidth="1"/>
    <col min="12807" max="12807" width="20.7109375" style="104" customWidth="1"/>
    <col min="12808" max="12808" width="18.85546875" style="104" customWidth="1"/>
    <col min="12809" max="12809" width="9.85546875" style="104" customWidth="1"/>
    <col min="12810" max="12810" width="21.85546875" style="104" bestFit="1" customWidth="1"/>
    <col min="12811" max="12811" width="4.7109375" style="104" customWidth="1"/>
    <col min="12812" max="12812" width="21.140625" style="104" customWidth="1"/>
    <col min="12813" max="12813" width="19.42578125" style="104" customWidth="1"/>
    <col min="12814" max="12814" width="21.140625" style="104" customWidth="1"/>
    <col min="12815" max="12815" width="3.140625" style="104" customWidth="1"/>
    <col min="12816" max="12816" width="21.140625" style="104" customWidth="1"/>
    <col min="12817" max="12817" width="11.42578125" style="104" customWidth="1"/>
    <col min="12818" max="12818" width="20.5703125" style="104" bestFit="1" customWidth="1"/>
    <col min="12819" max="13056" width="11.42578125" style="104"/>
    <col min="13057" max="13057" width="4.7109375" style="104" customWidth="1"/>
    <col min="13058" max="13058" width="7.85546875" style="104" customWidth="1"/>
    <col min="13059" max="13059" width="1.85546875" style="104" customWidth="1"/>
    <col min="13060" max="13060" width="56" style="104" customWidth="1"/>
    <col min="13061" max="13061" width="37.28515625" style="104" customWidth="1"/>
    <col min="13062" max="13062" width="26.140625" style="104" customWidth="1"/>
    <col min="13063" max="13063" width="20.7109375" style="104" customWidth="1"/>
    <col min="13064" max="13064" width="18.85546875" style="104" customWidth="1"/>
    <col min="13065" max="13065" width="9.85546875" style="104" customWidth="1"/>
    <col min="13066" max="13066" width="21.85546875" style="104" bestFit="1" customWidth="1"/>
    <col min="13067" max="13067" width="4.7109375" style="104" customWidth="1"/>
    <col min="13068" max="13068" width="21.140625" style="104" customWidth="1"/>
    <col min="13069" max="13069" width="19.42578125" style="104" customWidth="1"/>
    <col min="13070" max="13070" width="21.140625" style="104" customWidth="1"/>
    <col min="13071" max="13071" width="3.140625" style="104" customWidth="1"/>
    <col min="13072" max="13072" width="21.140625" style="104" customWidth="1"/>
    <col min="13073" max="13073" width="11.42578125" style="104" customWidth="1"/>
    <col min="13074" max="13074" width="20.5703125" style="104" bestFit="1" customWidth="1"/>
    <col min="13075" max="13312" width="11.42578125" style="104"/>
    <col min="13313" max="13313" width="4.7109375" style="104" customWidth="1"/>
    <col min="13314" max="13314" width="7.85546875" style="104" customWidth="1"/>
    <col min="13315" max="13315" width="1.85546875" style="104" customWidth="1"/>
    <col min="13316" max="13316" width="56" style="104" customWidth="1"/>
    <col min="13317" max="13317" width="37.28515625" style="104" customWidth="1"/>
    <col min="13318" max="13318" width="26.140625" style="104" customWidth="1"/>
    <col min="13319" max="13319" width="20.7109375" style="104" customWidth="1"/>
    <col min="13320" max="13320" width="18.85546875" style="104" customWidth="1"/>
    <col min="13321" max="13321" width="9.85546875" style="104" customWidth="1"/>
    <col min="13322" max="13322" width="21.85546875" style="104" bestFit="1" customWidth="1"/>
    <col min="13323" max="13323" width="4.7109375" style="104" customWidth="1"/>
    <col min="13324" max="13324" width="21.140625" style="104" customWidth="1"/>
    <col min="13325" max="13325" width="19.42578125" style="104" customWidth="1"/>
    <col min="13326" max="13326" width="21.140625" style="104" customWidth="1"/>
    <col min="13327" max="13327" width="3.140625" style="104" customWidth="1"/>
    <col min="13328" max="13328" width="21.140625" style="104" customWidth="1"/>
    <col min="13329" max="13329" width="11.42578125" style="104" customWidth="1"/>
    <col min="13330" max="13330" width="20.5703125" style="104" bestFit="1" customWidth="1"/>
    <col min="13331" max="13568" width="11.42578125" style="104"/>
    <col min="13569" max="13569" width="4.7109375" style="104" customWidth="1"/>
    <col min="13570" max="13570" width="7.85546875" style="104" customWidth="1"/>
    <col min="13571" max="13571" width="1.85546875" style="104" customWidth="1"/>
    <col min="13572" max="13572" width="56" style="104" customWidth="1"/>
    <col min="13573" max="13573" width="37.28515625" style="104" customWidth="1"/>
    <col min="13574" max="13574" width="26.140625" style="104" customWidth="1"/>
    <col min="13575" max="13575" width="20.7109375" style="104" customWidth="1"/>
    <col min="13576" max="13576" width="18.85546875" style="104" customWidth="1"/>
    <col min="13577" max="13577" width="9.85546875" style="104" customWidth="1"/>
    <col min="13578" max="13578" width="21.85546875" style="104" bestFit="1" customWidth="1"/>
    <col min="13579" max="13579" width="4.7109375" style="104" customWidth="1"/>
    <col min="13580" max="13580" width="21.140625" style="104" customWidth="1"/>
    <col min="13581" max="13581" width="19.42578125" style="104" customWidth="1"/>
    <col min="13582" max="13582" width="21.140625" style="104" customWidth="1"/>
    <col min="13583" max="13583" width="3.140625" style="104" customWidth="1"/>
    <col min="13584" max="13584" width="21.140625" style="104" customWidth="1"/>
    <col min="13585" max="13585" width="11.42578125" style="104" customWidth="1"/>
    <col min="13586" max="13586" width="20.5703125" style="104" bestFit="1" customWidth="1"/>
    <col min="13587" max="13824" width="11.42578125" style="104"/>
    <col min="13825" max="13825" width="4.7109375" style="104" customWidth="1"/>
    <col min="13826" max="13826" width="7.85546875" style="104" customWidth="1"/>
    <col min="13827" max="13827" width="1.85546875" style="104" customWidth="1"/>
    <col min="13828" max="13828" width="56" style="104" customWidth="1"/>
    <col min="13829" max="13829" width="37.28515625" style="104" customWidth="1"/>
    <col min="13830" max="13830" width="26.140625" style="104" customWidth="1"/>
    <col min="13831" max="13831" width="20.7109375" style="104" customWidth="1"/>
    <col min="13832" max="13832" width="18.85546875" style="104" customWidth="1"/>
    <col min="13833" max="13833" width="9.85546875" style="104" customWidth="1"/>
    <col min="13834" max="13834" width="21.85546875" style="104" bestFit="1" customWidth="1"/>
    <col min="13835" max="13835" width="4.7109375" style="104" customWidth="1"/>
    <col min="13836" max="13836" width="21.140625" style="104" customWidth="1"/>
    <col min="13837" max="13837" width="19.42578125" style="104" customWidth="1"/>
    <col min="13838" max="13838" width="21.140625" style="104" customWidth="1"/>
    <col min="13839" max="13839" width="3.140625" style="104" customWidth="1"/>
    <col min="13840" max="13840" width="21.140625" style="104" customWidth="1"/>
    <col min="13841" max="13841" width="11.42578125" style="104" customWidth="1"/>
    <col min="13842" max="13842" width="20.5703125" style="104" bestFit="1" customWidth="1"/>
    <col min="13843" max="14080" width="11.42578125" style="104"/>
    <col min="14081" max="14081" width="4.7109375" style="104" customWidth="1"/>
    <col min="14082" max="14082" width="7.85546875" style="104" customWidth="1"/>
    <col min="14083" max="14083" width="1.85546875" style="104" customWidth="1"/>
    <col min="14084" max="14084" width="56" style="104" customWidth="1"/>
    <col min="14085" max="14085" width="37.28515625" style="104" customWidth="1"/>
    <col min="14086" max="14086" width="26.140625" style="104" customWidth="1"/>
    <col min="14087" max="14087" width="20.7109375" style="104" customWidth="1"/>
    <col min="14088" max="14088" width="18.85546875" style="104" customWidth="1"/>
    <col min="14089" max="14089" width="9.85546875" style="104" customWidth="1"/>
    <col min="14090" max="14090" width="21.85546875" style="104" bestFit="1" customWidth="1"/>
    <col min="14091" max="14091" width="4.7109375" style="104" customWidth="1"/>
    <col min="14092" max="14092" width="21.140625" style="104" customWidth="1"/>
    <col min="14093" max="14093" width="19.42578125" style="104" customWidth="1"/>
    <col min="14094" max="14094" width="21.140625" style="104" customWidth="1"/>
    <col min="14095" max="14095" width="3.140625" style="104" customWidth="1"/>
    <col min="14096" max="14096" width="21.140625" style="104" customWidth="1"/>
    <col min="14097" max="14097" width="11.42578125" style="104" customWidth="1"/>
    <col min="14098" max="14098" width="20.5703125" style="104" bestFit="1" customWidth="1"/>
    <col min="14099" max="14336" width="11.42578125" style="104"/>
    <col min="14337" max="14337" width="4.7109375" style="104" customWidth="1"/>
    <col min="14338" max="14338" width="7.85546875" style="104" customWidth="1"/>
    <col min="14339" max="14339" width="1.85546875" style="104" customWidth="1"/>
    <col min="14340" max="14340" width="56" style="104" customWidth="1"/>
    <col min="14341" max="14341" width="37.28515625" style="104" customWidth="1"/>
    <col min="14342" max="14342" width="26.140625" style="104" customWidth="1"/>
    <col min="14343" max="14343" width="20.7109375" style="104" customWidth="1"/>
    <col min="14344" max="14344" width="18.85546875" style="104" customWidth="1"/>
    <col min="14345" max="14345" width="9.85546875" style="104" customWidth="1"/>
    <col min="14346" max="14346" width="21.85546875" style="104" bestFit="1" customWidth="1"/>
    <col min="14347" max="14347" width="4.7109375" style="104" customWidth="1"/>
    <col min="14348" max="14348" width="21.140625" style="104" customWidth="1"/>
    <col min="14349" max="14349" width="19.42578125" style="104" customWidth="1"/>
    <col min="14350" max="14350" width="21.140625" style="104" customWidth="1"/>
    <col min="14351" max="14351" width="3.140625" style="104" customWidth="1"/>
    <col min="14352" max="14352" width="21.140625" style="104" customWidth="1"/>
    <col min="14353" max="14353" width="11.42578125" style="104" customWidth="1"/>
    <col min="14354" max="14354" width="20.5703125" style="104" bestFit="1" customWidth="1"/>
    <col min="14355" max="14592" width="11.42578125" style="104"/>
    <col min="14593" max="14593" width="4.7109375" style="104" customWidth="1"/>
    <col min="14594" max="14594" width="7.85546875" style="104" customWidth="1"/>
    <col min="14595" max="14595" width="1.85546875" style="104" customWidth="1"/>
    <col min="14596" max="14596" width="56" style="104" customWidth="1"/>
    <col min="14597" max="14597" width="37.28515625" style="104" customWidth="1"/>
    <col min="14598" max="14598" width="26.140625" style="104" customWidth="1"/>
    <col min="14599" max="14599" width="20.7109375" style="104" customWidth="1"/>
    <col min="14600" max="14600" width="18.85546875" style="104" customWidth="1"/>
    <col min="14601" max="14601" width="9.85546875" style="104" customWidth="1"/>
    <col min="14602" max="14602" width="21.85546875" style="104" bestFit="1" customWidth="1"/>
    <col min="14603" max="14603" width="4.7109375" style="104" customWidth="1"/>
    <col min="14604" max="14604" width="21.140625" style="104" customWidth="1"/>
    <col min="14605" max="14605" width="19.42578125" style="104" customWidth="1"/>
    <col min="14606" max="14606" width="21.140625" style="104" customWidth="1"/>
    <col min="14607" max="14607" width="3.140625" style="104" customWidth="1"/>
    <col min="14608" max="14608" width="21.140625" style="104" customWidth="1"/>
    <col min="14609" max="14609" width="11.42578125" style="104" customWidth="1"/>
    <col min="14610" max="14610" width="20.5703125" style="104" bestFit="1" customWidth="1"/>
    <col min="14611" max="14848" width="11.42578125" style="104"/>
    <col min="14849" max="14849" width="4.7109375" style="104" customWidth="1"/>
    <col min="14850" max="14850" width="7.85546875" style="104" customWidth="1"/>
    <col min="14851" max="14851" width="1.85546875" style="104" customWidth="1"/>
    <col min="14852" max="14852" width="56" style="104" customWidth="1"/>
    <col min="14853" max="14853" width="37.28515625" style="104" customWidth="1"/>
    <col min="14854" max="14854" width="26.140625" style="104" customWidth="1"/>
    <col min="14855" max="14855" width="20.7109375" style="104" customWidth="1"/>
    <col min="14856" max="14856" width="18.85546875" style="104" customWidth="1"/>
    <col min="14857" max="14857" width="9.85546875" style="104" customWidth="1"/>
    <col min="14858" max="14858" width="21.85546875" style="104" bestFit="1" customWidth="1"/>
    <col min="14859" max="14859" width="4.7109375" style="104" customWidth="1"/>
    <col min="14860" max="14860" width="21.140625" style="104" customWidth="1"/>
    <col min="14861" max="14861" width="19.42578125" style="104" customWidth="1"/>
    <col min="14862" max="14862" width="21.140625" style="104" customWidth="1"/>
    <col min="14863" max="14863" width="3.140625" style="104" customWidth="1"/>
    <col min="14864" max="14864" width="21.140625" style="104" customWidth="1"/>
    <col min="14865" max="14865" width="11.42578125" style="104" customWidth="1"/>
    <col min="14866" max="14866" width="20.5703125" style="104" bestFit="1" customWidth="1"/>
    <col min="14867" max="15104" width="11.42578125" style="104"/>
    <col min="15105" max="15105" width="4.7109375" style="104" customWidth="1"/>
    <col min="15106" max="15106" width="7.85546875" style="104" customWidth="1"/>
    <col min="15107" max="15107" width="1.85546875" style="104" customWidth="1"/>
    <col min="15108" max="15108" width="56" style="104" customWidth="1"/>
    <col min="15109" max="15109" width="37.28515625" style="104" customWidth="1"/>
    <col min="15110" max="15110" width="26.140625" style="104" customWidth="1"/>
    <col min="15111" max="15111" width="20.7109375" style="104" customWidth="1"/>
    <col min="15112" max="15112" width="18.85546875" style="104" customWidth="1"/>
    <col min="15113" max="15113" width="9.85546875" style="104" customWidth="1"/>
    <col min="15114" max="15114" width="21.85546875" style="104" bestFit="1" customWidth="1"/>
    <col min="15115" max="15115" width="4.7109375" style="104" customWidth="1"/>
    <col min="15116" max="15116" width="21.140625" style="104" customWidth="1"/>
    <col min="15117" max="15117" width="19.42578125" style="104" customWidth="1"/>
    <col min="15118" max="15118" width="21.140625" style="104" customWidth="1"/>
    <col min="15119" max="15119" width="3.140625" style="104" customWidth="1"/>
    <col min="15120" max="15120" width="21.140625" style="104" customWidth="1"/>
    <col min="15121" max="15121" width="11.42578125" style="104" customWidth="1"/>
    <col min="15122" max="15122" width="20.5703125" style="104" bestFit="1" customWidth="1"/>
    <col min="15123" max="15360" width="11.42578125" style="104"/>
    <col min="15361" max="15361" width="4.7109375" style="104" customWidth="1"/>
    <col min="15362" max="15362" width="7.85546875" style="104" customWidth="1"/>
    <col min="15363" max="15363" width="1.85546875" style="104" customWidth="1"/>
    <col min="15364" max="15364" width="56" style="104" customWidth="1"/>
    <col min="15365" max="15365" width="37.28515625" style="104" customWidth="1"/>
    <col min="15366" max="15366" width="26.140625" style="104" customWidth="1"/>
    <col min="15367" max="15367" width="20.7109375" style="104" customWidth="1"/>
    <col min="15368" max="15368" width="18.85546875" style="104" customWidth="1"/>
    <col min="15369" max="15369" width="9.85546875" style="104" customWidth="1"/>
    <col min="15370" max="15370" width="21.85546875" style="104" bestFit="1" customWidth="1"/>
    <col min="15371" max="15371" width="4.7109375" style="104" customWidth="1"/>
    <col min="15372" max="15372" width="21.140625" style="104" customWidth="1"/>
    <col min="15373" max="15373" width="19.42578125" style="104" customWidth="1"/>
    <col min="15374" max="15374" width="21.140625" style="104" customWidth="1"/>
    <col min="15375" max="15375" width="3.140625" style="104" customWidth="1"/>
    <col min="15376" max="15376" width="21.140625" style="104" customWidth="1"/>
    <col min="15377" max="15377" width="11.42578125" style="104" customWidth="1"/>
    <col min="15378" max="15378" width="20.5703125" style="104" bestFit="1" customWidth="1"/>
    <col min="15379" max="15616" width="11.42578125" style="104"/>
    <col min="15617" max="15617" width="4.7109375" style="104" customWidth="1"/>
    <col min="15618" max="15618" width="7.85546875" style="104" customWidth="1"/>
    <col min="15619" max="15619" width="1.85546875" style="104" customWidth="1"/>
    <col min="15620" max="15620" width="56" style="104" customWidth="1"/>
    <col min="15621" max="15621" width="37.28515625" style="104" customWidth="1"/>
    <col min="15622" max="15622" width="26.140625" style="104" customWidth="1"/>
    <col min="15623" max="15623" width="20.7109375" style="104" customWidth="1"/>
    <col min="15624" max="15624" width="18.85546875" style="104" customWidth="1"/>
    <col min="15625" max="15625" width="9.85546875" style="104" customWidth="1"/>
    <col min="15626" max="15626" width="21.85546875" style="104" bestFit="1" customWidth="1"/>
    <col min="15627" max="15627" width="4.7109375" style="104" customWidth="1"/>
    <col min="15628" max="15628" width="21.140625" style="104" customWidth="1"/>
    <col min="15629" max="15629" width="19.42578125" style="104" customWidth="1"/>
    <col min="15630" max="15630" width="21.140625" style="104" customWidth="1"/>
    <col min="15631" max="15631" width="3.140625" style="104" customWidth="1"/>
    <col min="15632" max="15632" width="21.140625" style="104" customWidth="1"/>
    <col min="15633" max="15633" width="11.42578125" style="104" customWidth="1"/>
    <col min="15634" max="15634" width="20.5703125" style="104" bestFit="1" customWidth="1"/>
    <col min="15635" max="15872" width="11.42578125" style="104"/>
    <col min="15873" max="15873" width="4.7109375" style="104" customWidth="1"/>
    <col min="15874" max="15874" width="7.85546875" style="104" customWidth="1"/>
    <col min="15875" max="15875" width="1.85546875" style="104" customWidth="1"/>
    <col min="15876" max="15876" width="56" style="104" customWidth="1"/>
    <col min="15877" max="15877" width="37.28515625" style="104" customWidth="1"/>
    <col min="15878" max="15878" width="26.140625" style="104" customWidth="1"/>
    <col min="15879" max="15879" width="20.7109375" style="104" customWidth="1"/>
    <col min="15880" max="15880" width="18.85546875" style="104" customWidth="1"/>
    <col min="15881" max="15881" width="9.85546875" style="104" customWidth="1"/>
    <col min="15882" max="15882" width="21.85546875" style="104" bestFit="1" customWidth="1"/>
    <col min="15883" max="15883" width="4.7109375" style="104" customWidth="1"/>
    <col min="15884" max="15884" width="21.140625" style="104" customWidth="1"/>
    <col min="15885" max="15885" width="19.42578125" style="104" customWidth="1"/>
    <col min="15886" max="15886" width="21.140625" style="104" customWidth="1"/>
    <col min="15887" max="15887" width="3.140625" style="104" customWidth="1"/>
    <col min="15888" max="15888" width="21.140625" style="104" customWidth="1"/>
    <col min="15889" max="15889" width="11.42578125" style="104" customWidth="1"/>
    <col min="15890" max="15890" width="20.5703125" style="104" bestFit="1" customWidth="1"/>
    <col min="15891" max="16128" width="11.42578125" style="104"/>
    <col min="16129" max="16129" width="4.7109375" style="104" customWidth="1"/>
    <col min="16130" max="16130" width="7.85546875" style="104" customWidth="1"/>
    <col min="16131" max="16131" width="1.85546875" style="104" customWidth="1"/>
    <col min="16132" max="16132" width="56" style="104" customWidth="1"/>
    <col min="16133" max="16133" width="37.28515625" style="104" customWidth="1"/>
    <col min="16134" max="16134" width="26.140625" style="104" customWidth="1"/>
    <col min="16135" max="16135" width="20.7109375" style="104" customWidth="1"/>
    <col min="16136" max="16136" width="18.85546875" style="104" customWidth="1"/>
    <col min="16137" max="16137" width="9.85546875" style="104" customWidth="1"/>
    <col min="16138" max="16138" width="21.85546875" style="104" bestFit="1" customWidth="1"/>
    <col min="16139" max="16139" width="4.7109375" style="104" customWidth="1"/>
    <col min="16140" max="16140" width="21.140625" style="104" customWidth="1"/>
    <col min="16141" max="16141" width="19.42578125" style="104" customWidth="1"/>
    <col min="16142" max="16142" width="21.140625" style="104" customWidth="1"/>
    <col min="16143" max="16143" width="3.140625" style="104" customWidth="1"/>
    <col min="16144" max="16144" width="21.140625" style="104" customWidth="1"/>
    <col min="16145" max="16145" width="11.42578125" style="104" customWidth="1"/>
    <col min="16146" max="16146" width="20.5703125" style="104" bestFit="1" customWidth="1"/>
    <col min="16147" max="16384" width="11.42578125" style="104"/>
  </cols>
  <sheetData>
    <row r="1" spans="2:16" ht="15.75">
      <c r="B1" s="336"/>
      <c r="C1" s="192"/>
      <c r="D1" s="318"/>
      <c r="E1" s="145"/>
      <c r="F1" s="145"/>
      <c r="G1" s="144"/>
      <c r="H1" s="192"/>
      <c r="I1" s="249"/>
      <c r="J1" s="249"/>
      <c r="K1" s="249"/>
      <c r="L1" s="120"/>
      <c r="M1" s="120"/>
      <c r="N1" s="119">
        <f>'[2]OKT Historic TCOS'!O1</f>
        <v>2013</v>
      </c>
      <c r="P1" s="120"/>
    </row>
    <row r="2" spans="2:16">
      <c r="B2" s="336"/>
      <c r="C2" s="192"/>
      <c r="D2" s="120"/>
      <c r="E2" s="192"/>
      <c r="F2" s="192"/>
      <c r="G2" s="192"/>
      <c r="H2" s="192"/>
      <c r="I2" s="192"/>
      <c r="J2" s="192"/>
      <c r="K2" s="192"/>
      <c r="L2" s="192"/>
      <c r="M2" s="120"/>
      <c r="N2" s="135">
        <f>'[2]OKT Historic TCOS'!O2</f>
        <v>2014</v>
      </c>
      <c r="P2" s="192"/>
    </row>
    <row r="3" spans="2:16">
      <c r="B3" s="336"/>
      <c r="C3" s="192"/>
      <c r="D3" s="119"/>
      <c r="E3" s="119"/>
      <c r="F3" s="408" t="s">
        <v>543</v>
      </c>
      <c r="G3" s="407"/>
      <c r="H3" s="404"/>
      <c r="J3" s="135"/>
      <c r="K3" s="138"/>
      <c r="L3" s="138"/>
      <c r="M3" s="403"/>
      <c r="N3" s="138"/>
      <c r="P3" s="138"/>
    </row>
    <row r="4" spans="2:16">
      <c r="B4" s="336"/>
      <c r="C4" s="192"/>
      <c r="D4" s="119"/>
      <c r="E4" s="139"/>
      <c r="F4" s="406" t="s">
        <v>542</v>
      </c>
      <c r="G4" s="404"/>
      <c r="H4" s="404"/>
      <c r="J4" s="139"/>
      <c r="K4" s="138"/>
      <c r="L4" s="138"/>
      <c r="M4" s="403"/>
      <c r="N4" s="138"/>
      <c r="P4" s="138"/>
    </row>
    <row r="5" spans="2:16">
      <c r="B5" s="336"/>
      <c r="C5" s="192"/>
      <c r="D5" s="125"/>
      <c r="E5" s="138"/>
      <c r="F5" s="405" t="str">
        <f>"Utilizing Actual Cost Data for "&amp;'[2]OKT Historic TCOS'!O1&amp;" with Average Ratebase Balances"</f>
        <v>Utilizing Actual Cost Data for 2013 with Average Ratebase Balances</v>
      </c>
      <c r="G5" s="404"/>
      <c r="H5" s="404"/>
      <c r="J5" s="138"/>
      <c r="K5" s="138"/>
      <c r="L5" s="138"/>
      <c r="M5" s="403"/>
      <c r="N5" s="138"/>
      <c r="P5" s="138"/>
    </row>
    <row r="6" spans="2:16">
      <c r="B6" s="134"/>
      <c r="C6" s="133"/>
      <c r="D6" s="125"/>
      <c r="H6" s="335"/>
      <c r="I6" s="335"/>
      <c r="J6" s="335"/>
      <c r="K6" s="335"/>
      <c r="L6" s="138"/>
      <c r="M6" s="125"/>
      <c r="N6" s="138"/>
      <c r="P6" s="138"/>
    </row>
    <row r="7" spans="2:16" ht="15.75">
      <c r="B7" s="134"/>
      <c r="C7" s="133"/>
      <c r="D7" s="143"/>
      <c r="E7" s="125"/>
      <c r="F7" s="402" t="str">
        <f>'[2]OKT Historic TCOS'!F7</f>
        <v>AEP OKLAHOMA TRANSMISSION COMPANY, INC</v>
      </c>
      <c r="G7" s="401"/>
      <c r="H7" s="138"/>
      <c r="I7" s="138"/>
      <c r="J7" s="138"/>
      <c r="K7" s="138"/>
      <c r="L7" s="108"/>
      <c r="M7" s="108"/>
      <c r="N7" s="108"/>
      <c r="P7" s="108"/>
    </row>
    <row r="8" spans="2:16">
      <c r="B8" s="134"/>
      <c r="C8" s="133"/>
      <c r="D8" s="125"/>
      <c r="E8" s="138"/>
      <c r="F8" s="400"/>
      <c r="G8" s="399"/>
      <c r="H8" s="138"/>
      <c r="I8" s="138"/>
      <c r="J8" s="138"/>
      <c r="K8" s="138"/>
      <c r="L8" s="108"/>
      <c r="M8" s="108"/>
      <c r="N8" s="108"/>
      <c r="P8" s="108"/>
    </row>
    <row r="9" spans="2:16">
      <c r="B9" s="134" t="s">
        <v>541</v>
      </c>
      <c r="C9" s="133"/>
      <c r="D9" s="138"/>
      <c r="E9" s="138"/>
      <c r="F9" s="138"/>
      <c r="G9" s="399"/>
      <c r="H9" s="138"/>
      <c r="I9" s="138"/>
      <c r="J9" s="138"/>
      <c r="K9" s="138"/>
      <c r="L9" s="133" t="s">
        <v>455</v>
      </c>
      <c r="M9" s="108"/>
      <c r="N9" s="398" t="s">
        <v>540</v>
      </c>
      <c r="O9" s="151"/>
      <c r="P9" s="398" t="s">
        <v>539</v>
      </c>
    </row>
    <row r="10" spans="2:16" ht="15.75" thickBot="1">
      <c r="B10" s="243" t="s">
        <v>388</v>
      </c>
      <c r="C10" s="132"/>
      <c r="D10" s="138"/>
      <c r="E10" s="132"/>
      <c r="F10" s="138"/>
      <c r="G10" s="138"/>
      <c r="H10" s="138"/>
      <c r="I10" s="138"/>
      <c r="J10" s="138"/>
      <c r="K10" s="138"/>
      <c r="L10" s="394" t="s">
        <v>538</v>
      </c>
      <c r="M10" s="108"/>
      <c r="N10" s="171"/>
      <c r="O10" s="151"/>
      <c r="P10" s="171"/>
    </row>
    <row r="11" spans="2:16">
      <c r="B11" s="134">
        <v>1</v>
      </c>
      <c r="C11" s="133"/>
      <c r="D11" s="397" t="s">
        <v>537</v>
      </c>
      <c r="E11" s="125" t="str">
        <f>"(ln "&amp;B178&amp;")"</f>
        <v>(ln 106)</v>
      </c>
      <c r="F11" s="125"/>
      <c r="G11" s="392"/>
      <c r="H11" s="362"/>
      <c r="I11" s="138"/>
      <c r="J11" s="138"/>
      <c r="K11" s="138"/>
      <c r="L11" s="136">
        <f>+L178</f>
        <v>19707500.203117095</v>
      </c>
      <c r="M11" s="108"/>
      <c r="N11" s="396">
        <v>20282639.891639277</v>
      </c>
      <c r="O11" s="151"/>
      <c r="P11" s="396">
        <f t="shared" ref="P11:P49" si="0">IF(N11="","",N11-L11)</f>
        <v>575139.6885221824</v>
      </c>
    </row>
    <row r="12" spans="2:16" ht="15.75" thickBot="1">
      <c r="B12" s="134"/>
      <c r="C12" s="133"/>
      <c r="E12" s="395"/>
      <c r="F12" s="131"/>
      <c r="G12" s="394" t="s">
        <v>372</v>
      </c>
      <c r="H12" s="139"/>
      <c r="I12" s="393" t="s">
        <v>520</v>
      </c>
      <c r="J12" s="393"/>
      <c r="K12" s="138"/>
      <c r="L12" s="392"/>
      <c r="M12" s="108"/>
      <c r="N12" s="391"/>
      <c r="O12" s="151"/>
      <c r="P12" s="391" t="str">
        <f t="shared" si="0"/>
        <v/>
      </c>
    </row>
    <row r="13" spans="2:16">
      <c r="B13" s="134">
        <f>+B11+1</f>
        <v>2</v>
      </c>
      <c r="C13" s="133"/>
      <c r="D13" s="373" t="s">
        <v>536</v>
      </c>
      <c r="E13" s="305" t="s">
        <v>535</v>
      </c>
      <c r="F13" s="131"/>
      <c r="G13" s="237"/>
      <c r="H13" s="131"/>
      <c r="I13" s="175"/>
      <c r="J13" s="214"/>
      <c r="K13" s="139"/>
      <c r="L13" s="387"/>
      <c r="M13" s="108"/>
      <c r="N13" s="386"/>
      <c r="O13" s="151"/>
      <c r="P13" s="386" t="str">
        <f t="shared" si="0"/>
        <v/>
      </c>
    </row>
    <row r="14" spans="2:16">
      <c r="B14" s="134">
        <f>+B13+1</f>
        <v>3</v>
      </c>
      <c r="C14" s="133"/>
      <c r="D14" s="135" t="s">
        <v>534</v>
      </c>
      <c r="E14" s="303" t="s">
        <v>532</v>
      </c>
      <c r="F14" s="131"/>
      <c r="G14" s="237">
        <f>+'[2]OKT WS H Rev Credits'!M46</f>
        <v>1799108.1400000006</v>
      </c>
      <c r="H14" s="131"/>
      <c r="I14" s="175" t="s">
        <v>269</v>
      </c>
      <c r="J14" s="214">
        <f>VLOOKUP(I14,PSO_TU_Allocators,2,FALSE)</f>
        <v>1</v>
      </c>
      <c r="K14" s="139"/>
      <c r="L14" s="387">
        <f>+J14*G14</f>
        <v>1799108.1400000006</v>
      </c>
      <c r="M14" s="108"/>
      <c r="N14" s="386">
        <v>1799108.1400000006</v>
      </c>
      <c r="O14" s="151"/>
      <c r="P14" s="386">
        <f t="shared" si="0"/>
        <v>0</v>
      </c>
    </row>
    <row r="15" spans="2:16">
      <c r="B15" s="134">
        <f>+B14+1</f>
        <v>4</v>
      </c>
      <c r="C15" s="133"/>
      <c r="D15" s="135" t="s">
        <v>533</v>
      </c>
      <c r="E15" s="303" t="s">
        <v>532</v>
      </c>
      <c r="F15" s="131"/>
      <c r="G15" s="390">
        <f>+'[2]OKT WS H Rev Credits'!M28</f>
        <v>0</v>
      </c>
      <c r="H15" s="131"/>
      <c r="I15" s="175" t="s">
        <v>269</v>
      </c>
      <c r="J15" s="214">
        <f>VLOOKUP(I15,PSO_TU_Allocators,2,FALSE)</f>
        <v>1</v>
      </c>
      <c r="K15" s="139"/>
      <c r="L15" s="389">
        <f>+J15*G15</f>
        <v>0</v>
      </c>
      <c r="M15" s="108"/>
      <c r="N15" s="388">
        <v>0</v>
      </c>
      <c r="O15" s="151"/>
      <c r="P15" s="388">
        <f t="shared" si="0"/>
        <v>0</v>
      </c>
    </row>
    <row r="16" spans="2:16">
      <c r="B16" s="134">
        <f>+B15+1</f>
        <v>5</v>
      </c>
      <c r="C16" s="133"/>
      <c r="D16" s="135" t="s">
        <v>531</v>
      </c>
      <c r="E16" s="138"/>
      <c r="F16" s="131"/>
      <c r="G16" s="237">
        <f>+G14+G15</f>
        <v>1799108.1400000006</v>
      </c>
      <c r="H16" s="131"/>
      <c r="I16" s="175"/>
      <c r="J16" s="214"/>
      <c r="K16" s="139"/>
      <c r="L16" s="387">
        <f>+L15+L14</f>
        <v>1799108.1400000006</v>
      </c>
      <c r="M16" s="108"/>
      <c r="N16" s="386">
        <v>1799108.1400000006</v>
      </c>
      <c r="O16" s="151"/>
      <c r="P16" s="386">
        <f t="shared" si="0"/>
        <v>0</v>
      </c>
    </row>
    <row r="17" spans="2:16">
      <c r="B17" s="134"/>
      <c r="C17" s="133"/>
      <c r="D17" s="373"/>
      <c r="F17" s="139"/>
      <c r="L17" s="385"/>
      <c r="M17" s="108"/>
      <c r="N17" s="384"/>
      <c r="O17" s="151"/>
      <c r="P17" s="384" t="str">
        <f t="shared" si="0"/>
        <v/>
      </c>
    </row>
    <row r="18" spans="2:16" ht="30.75" thickBot="1">
      <c r="B18" s="115">
        <f>+B16+1</f>
        <v>6</v>
      </c>
      <c r="C18" s="114"/>
      <c r="D18" s="383" t="s">
        <v>530</v>
      </c>
      <c r="E18" s="305" t="str">
        <f>"(ln "&amp;B11&amp;" less ln " &amp;B16&amp;")"</f>
        <v>(ln 1 less ln 5)</v>
      </c>
      <c r="F18" s="138"/>
      <c r="H18" s="139"/>
      <c r="I18" s="204"/>
      <c r="J18" s="139"/>
      <c r="K18" s="139"/>
      <c r="L18" s="382">
        <f>+L11-L16</f>
        <v>17908392.063117094</v>
      </c>
      <c r="M18" s="108"/>
      <c r="N18" s="381">
        <v>18483531.751639277</v>
      </c>
      <c r="O18" s="151"/>
      <c r="P18" s="381">
        <f t="shared" si="0"/>
        <v>575139.6885221824</v>
      </c>
    </row>
    <row r="19" spans="2:16" ht="15.75" thickTop="1">
      <c r="B19" s="115"/>
      <c r="C19" s="114"/>
      <c r="D19" s="373"/>
      <c r="E19" s="303"/>
      <c r="F19" s="138"/>
      <c r="H19" s="139"/>
      <c r="I19" s="204"/>
      <c r="J19" s="139"/>
      <c r="K19" s="139"/>
      <c r="L19" s="380"/>
      <c r="M19" s="108"/>
      <c r="N19" s="377"/>
      <c r="O19" s="151"/>
      <c r="P19" s="377" t="str">
        <f t="shared" si="0"/>
        <v/>
      </c>
    </row>
    <row r="20" spans="2:16" ht="15" customHeight="1">
      <c r="B20" s="479" t="str">
        <f>"MEMO:  The Carrying Charge Calculations on lines "&amp;B26&amp;" to "&amp;B33&amp;" below is used in calculating project revenue requirements billed on SPP Schedule 11.  The total non-incentive revenue requirements for these projects shown on line "&amp;B23&amp;" is included in the total on line "&amp;B18&amp;"."</f>
        <v>MEMO:  The Carrying Charge Calculations on lines 9 to 14 below is used in calculating project revenue requirements billed on SPP Schedule 11.  The total non-incentive revenue requirements for these projects shown on line 7 is included in the total on line 6.</v>
      </c>
      <c r="C20" s="479"/>
      <c r="D20" s="479"/>
      <c r="E20" s="479"/>
      <c r="F20" s="479"/>
      <c r="G20" s="479"/>
      <c r="H20" s="479"/>
      <c r="I20" s="479"/>
      <c r="J20" s="108"/>
      <c r="M20" s="108"/>
      <c r="N20" s="151"/>
      <c r="O20" s="151"/>
      <c r="P20" s="151" t="str">
        <f t="shared" si="0"/>
        <v/>
      </c>
    </row>
    <row r="21" spans="2:16" ht="15" customHeight="1">
      <c r="B21" s="479"/>
      <c r="C21" s="479"/>
      <c r="D21" s="479"/>
      <c r="E21" s="479"/>
      <c r="F21" s="479"/>
      <c r="G21" s="479"/>
      <c r="H21" s="479"/>
      <c r="I21" s="479"/>
      <c r="J21" s="108"/>
      <c r="K21" s="108"/>
      <c r="L21" s="108"/>
      <c r="M21" s="108"/>
      <c r="N21" s="317"/>
      <c r="O21" s="151"/>
      <c r="P21" s="317" t="str">
        <f t="shared" si="0"/>
        <v/>
      </c>
    </row>
    <row r="22" spans="2:16" ht="15" customHeight="1">
      <c r="B22" s="379"/>
      <c r="C22" s="379"/>
      <c r="D22" s="379"/>
      <c r="E22" s="379"/>
      <c r="F22" s="379"/>
      <c r="G22" s="379"/>
      <c r="H22" s="379"/>
      <c r="I22" s="379"/>
      <c r="M22" s="108"/>
      <c r="N22" s="151"/>
      <c r="O22" s="151"/>
      <c r="P22" s="151" t="str">
        <f t="shared" si="0"/>
        <v/>
      </c>
    </row>
    <row r="23" spans="2:16">
      <c r="B23" s="134">
        <f>+B18+1</f>
        <v>7</v>
      </c>
      <c r="C23" s="114"/>
      <c r="D23" s="480" t="s">
        <v>529</v>
      </c>
      <c r="E23" s="474"/>
      <c r="F23" s="131"/>
      <c r="G23" s="154">
        <f>+'[2]OKT WS G BPU ATRR True-up'!N18</f>
        <v>2370651.8876003879</v>
      </c>
      <c r="H23" s="131"/>
      <c r="I23" s="175" t="s">
        <v>269</v>
      </c>
      <c r="J23" s="214">
        <f>VLOOKUP(I23,PSO_TU_Allocators,2,FALSE)</f>
        <v>1</v>
      </c>
      <c r="K23" s="125"/>
      <c r="L23" s="378">
        <f>+J23*G23</f>
        <v>2370651.8876003879</v>
      </c>
      <c r="M23" s="108"/>
      <c r="N23" s="377">
        <v>2370651.8876003879</v>
      </c>
      <c r="O23" s="151"/>
      <c r="P23" s="377">
        <f t="shared" si="0"/>
        <v>0</v>
      </c>
    </row>
    <row r="24" spans="2:16">
      <c r="B24" s="134"/>
      <c r="C24" s="114"/>
      <c r="D24" s="474"/>
      <c r="E24" s="474"/>
      <c r="F24" s="131"/>
      <c r="G24" s="154"/>
      <c r="H24" s="131"/>
      <c r="I24" s="131"/>
      <c r="J24" s="214"/>
      <c r="K24" s="125"/>
      <c r="L24" s="378"/>
      <c r="M24" s="108"/>
      <c r="N24" s="377"/>
      <c r="O24" s="151"/>
      <c r="P24" s="377" t="str">
        <f t="shared" si="0"/>
        <v/>
      </c>
    </row>
    <row r="25" spans="2:16">
      <c r="B25" s="115">
        <f>+B23+1</f>
        <v>8</v>
      </c>
      <c r="C25" s="114"/>
      <c r="D25" s="373" t="s">
        <v>528</v>
      </c>
      <c r="E25" s="305"/>
      <c r="F25" s="138"/>
      <c r="G25" s="376"/>
      <c r="H25" s="138"/>
      <c r="I25" s="192"/>
      <c r="J25" s="138"/>
      <c r="K25" s="138"/>
      <c r="M25" s="108"/>
      <c r="N25" s="151"/>
      <c r="O25" s="151"/>
      <c r="P25" s="151" t="str">
        <f t="shared" si="0"/>
        <v/>
      </c>
    </row>
    <row r="26" spans="2:16">
      <c r="B26" s="134">
        <f>B25+1</f>
        <v>9</v>
      </c>
      <c r="C26" s="114"/>
      <c r="D26" s="135" t="s">
        <v>526</v>
      </c>
      <c r="E26" s="125" t="str">
        <f>"(ln "&amp;B11&amp;"/ ln "&amp;B79&amp;" x 100%)"</f>
        <v>(ln 1/ ln 39 x 100%)</v>
      </c>
      <c r="F26" s="133"/>
      <c r="G26" s="133"/>
      <c r="H26" s="133"/>
      <c r="I26" s="365"/>
      <c r="J26" s="365"/>
      <c r="K26" s="365"/>
      <c r="L26" s="364">
        <f>IF(L79=0,0,(L11)/L79)</f>
        <v>0.13198814854732566</v>
      </c>
      <c r="M26" s="108"/>
      <c r="N26" s="363">
        <v>0.13194013949910488</v>
      </c>
      <c r="O26" s="151"/>
      <c r="P26" s="363">
        <f t="shared" si="0"/>
        <v>-4.8009048220776229E-5</v>
      </c>
    </row>
    <row r="27" spans="2:16">
      <c r="B27" s="134">
        <f>B26+1</f>
        <v>10</v>
      </c>
      <c r="C27" s="114"/>
      <c r="D27" s="135" t="s">
        <v>527</v>
      </c>
      <c r="E27" s="125" t="str">
        <f>"(ln "&amp;B26&amp;" / 12)"</f>
        <v>(ln 9 / 12)</v>
      </c>
      <c r="F27" s="133"/>
      <c r="G27" s="133"/>
      <c r="H27" s="133"/>
      <c r="I27" s="365"/>
      <c r="J27" s="365"/>
      <c r="K27" s="365"/>
      <c r="L27" s="375">
        <f>L26/12</f>
        <v>1.0999012378943804E-2</v>
      </c>
      <c r="M27" s="108"/>
      <c r="N27" s="374">
        <v>1.0995011624925407E-2</v>
      </c>
      <c r="O27" s="151"/>
      <c r="P27" s="374">
        <f t="shared" si="0"/>
        <v>-4.0007540183968626E-6</v>
      </c>
    </row>
    <row r="28" spans="2:16">
      <c r="B28" s="134"/>
      <c r="C28" s="114"/>
      <c r="D28" s="135"/>
      <c r="E28" s="125"/>
      <c r="F28" s="133"/>
      <c r="G28" s="133"/>
      <c r="H28" s="133"/>
      <c r="I28" s="365"/>
      <c r="J28" s="365"/>
      <c r="K28" s="365"/>
      <c r="L28" s="375"/>
      <c r="M28" s="108"/>
      <c r="N28" s="374"/>
      <c r="O28" s="151"/>
      <c r="P28" s="374" t="str">
        <f t="shared" si="0"/>
        <v/>
      </c>
    </row>
    <row r="29" spans="2:16">
      <c r="B29" s="134">
        <f>B27+1</f>
        <v>11</v>
      </c>
      <c r="C29" s="114"/>
      <c r="D29" s="373" t="str">
        <f>"NET PLANT CARRYING CHARGE ON LINE "&amp;B26&amp;" , W/O DEPRECIATION (w/o incentives) (Note B)"</f>
        <v>NET PLANT CARRYING CHARGE ON LINE 9 , W/O DEPRECIATION (w/o incentives) (Note B)</v>
      </c>
      <c r="E29" s="125"/>
      <c r="F29" s="133"/>
      <c r="G29" s="133"/>
      <c r="H29" s="133"/>
      <c r="I29" s="365"/>
      <c r="J29" s="365"/>
      <c r="K29" s="365"/>
      <c r="L29" s="375"/>
      <c r="M29" s="108"/>
      <c r="N29" s="374"/>
      <c r="O29" s="151"/>
      <c r="P29" s="374" t="str">
        <f t="shared" si="0"/>
        <v/>
      </c>
    </row>
    <row r="30" spans="2:16">
      <c r="B30" s="134">
        <f>B29+1</f>
        <v>12</v>
      </c>
      <c r="C30" s="114"/>
      <c r="D30" s="135" t="s">
        <v>526</v>
      </c>
      <c r="E30" s="125" t="str">
        <f>"( (ln "&amp;B11&amp;" - ln "&amp;B147&amp;") / ln "&amp;B79&amp;" x 100%)"</f>
        <v>( (ln 1 - ln 82) / ln 39 x 100%)</v>
      </c>
      <c r="F30" s="133"/>
      <c r="G30" s="133"/>
      <c r="H30" s="133"/>
      <c r="I30" s="365"/>
      <c r="J30" s="365"/>
      <c r="K30" s="365"/>
      <c r="L30" s="364">
        <f>IF(L79=0,0,(L11-L147)/L79)</f>
        <v>0.11370398602684999</v>
      </c>
      <c r="M30" s="108"/>
      <c r="N30" s="363">
        <v>0.11365995518715101</v>
      </c>
      <c r="O30" s="151"/>
      <c r="P30" s="363">
        <f t="shared" si="0"/>
        <v>-4.4030839698977475E-5</v>
      </c>
    </row>
    <row r="31" spans="2:16">
      <c r="B31" s="134"/>
      <c r="C31" s="114"/>
      <c r="D31" s="135"/>
      <c r="E31" s="125"/>
      <c r="F31" s="133"/>
      <c r="G31" s="133"/>
      <c r="H31" s="133"/>
      <c r="I31" s="365"/>
      <c r="J31" s="365"/>
      <c r="K31" s="365"/>
      <c r="L31" s="375"/>
      <c r="M31" s="108"/>
      <c r="N31" s="374"/>
      <c r="O31" s="151"/>
      <c r="P31" s="374" t="str">
        <f t="shared" si="0"/>
        <v/>
      </c>
    </row>
    <row r="32" spans="2:16">
      <c r="B32" s="134">
        <f>B30+1</f>
        <v>13</v>
      </c>
      <c r="C32" s="114"/>
      <c r="D32" s="373" t="str">
        <f>"NET PLANT CARRYING CHARGE ON LINE "&amp;B29&amp;", W/O  INCOME TAXES, RETURN  (Note B)"</f>
        <v>NET PLANT CARRYING CHARGE ON LINE 11, W/O  INCOME TAXES, RETURN  (Note B)</v>
      </c>
      <c r="E32" s="125"/>
      <c r="F32" s="133"/>
      <c r="G32" s="133"/>
      <c r="H32" s="133"/>
      <c r="I32" s="365"/>
      <c r="J32" s="365"/>
      <c r="K32" s="365"/>
      <c r="L32" s="372"/>
      <c r="M32" s="108"/>
      <c r="N32" s="371"/>
      <c r="O32" s="151"/>
      <c r="P32" s="371" t="str">
        <f t="shared" si="0"/>
        <v/>
      </c>
    </row>
    <row r="33" spans="2:16">
      <c r="B33" s="134">
        <f>B32+1</f>
        <v>14</v>
      </c>
      <c r="C33" s="114"/>
      <c r="D33" s="135" t="s">
        <v>526</v>
      </c>
      <c r="E33" s="125" t="str">
        <f>"( (ln "&amp;B11&amp;" - ln "&amp;B147&amp;" - ln "&amp;B172&amp;" - ln "&amp;B174&amp;") / ln "&amp;B79&amp;" x 100%)"</f>
        <v>( (ln 1 - ln 82 - ln 103 - ln 104) / ln 39 x 100%)</v>
      </c>
      <c r="F33" s="133"/>
      <c r="G33" s="133"/>
      <c r="H33" s="133"/>
      <c r="I33" s="365"/>
      <c r="J33" s="365"/>
      <c r="K33" s="365"/>
      <c r="L33" s="370">
        <f>IF(L79=0,0,(L11-L147-L172-L174)/L79)</f>
        <v>2.3084200457244661E-2</v>
      </c>
      <c r="M33" s="108"/>
      <c r="N33" s="369">
        <v>2.3065801344600376E-2</v>
      </c>
      <c r="O33" s="151"/>
      <c r="P33" s="369">
        <f t="shared" si="0"/>
        <v>-1.8399112644285065E-5</v>
      </c>
    </row>
    <row r="34" spans="2:16">
      <c r="B34" s="134"/>
      <c r="C34" s="114"/>
      <c r="D34" s="135"/>
      <c r="E34" s="125"/>
      <c r="F34" s="133"/>
      <c r="G34" s="133"/>
      <c r="H34" s="133"/>
      <c r="I34" s="365"/>
      <c r="J34" s="365"/>
      <c r="K34" s="365"/>
      <c r="L34" s="364"/>
      <c r="M34" s="108"/>
      <c r="N34" s="363"/>
      <c r="O34" s="151"/>
      <c r="P34" s="363" t="str">
        <f t="shared" si="0"/>
        <v/>
      </c>
    </row>
    <row r="35" spans="2:16">
      <c r="B35" s="134">
        <f>B33+1</f>
        <v>15</v>
      </c>
      <c r="C35" s="133"/>
      <c r="D35" s="368" t="s">
        <v>525</v>
      </c>
      <c r="E35" s="125"/>
      <c r="F35" s="133"/>
      <c r="G35" s="133"/>
      <c r="H35" s="133"/>
      <c r="I35" s="365"/>
      <c r="J35" s="365"/>
      <c r="K35" s="365"/>
      <c r="L35" s="367">
        <f>+'[2]OKT WS G BPU ATRR True-up'!P18</f>
        <v>0</v>
      </c>
      <c r="M35" s="108"/>
      <c r="N35" s="366">
        <v>0</v>
      </c>
      <c r="O35" s="151"/>
      <c r="P35" s="366">
        <f t="shared" si="0"/>
        <v>0</v>
      </c>
    </row>
    <row r="36" spans="2:16">
      <c r="B36" s="134"/>
      <c r="C36" s="133"/>
      <c r="D36" s="192"/>
      <c r="E36" s="125"/>
      <c r="F36" s="133"/>
      <c r="G36" s="133"/>
      <c r="H36" s="133"/>
      <c r="I36" s="365"/>
      <c r="J36" s="365"/>
      <c r="K36" s="365"/>
      <c r="L36" s="364"/>
      <c r="M36" s="108"/>
      <c r="N36" s="363"/>
      <c r="O36" s="151"/>
      <c r="P36" s="363" t="str">
        <f t="shared" si="0"/>
        <v/>
      </c>
    </row>
    <row r="37" spans="2:16">
      <c r="B37" s="104"/>
      <c r="C37" s="133"/>
      <c r="D37" s="192"/>
      <c r="E37" s="125"/>
      <c r="F37" s="133"/>
      <c r="G37" s="133"/>
      <c r="H37" s="133"/>
      <c r="I37" s="365"/>
      <c r="J37" s="365"/>
      <c r="K37" s="365"/>
      <c r="L37" s="364"/>
      <c r="M37" s="108"/>
      <c r="N37" s="363"/>
      <c r="O37" s="151"/>
      <c r="P37" s="363" t="str">
        <f t="shared" si="0"/>
        <v/>
      </c>
    </row>
    <row r="38" spans="2:16">
      <c r="B38" s="134"/>
      <c r="C38" s="133"/>
      <c r="D38" s="192"/>
      <c r="E38" s="125"/>
      <c r="F38" s="133"/>
      <c r="G38" s="133"/>
      <c r="H38" s="133"/>
      <c r="I38" s="365"/>
      <c r="J38" s="365"/>
      <c r="K38" s="365"/>
      <c r="L38" s="364"/>
      <c r="M38" s="108"/>
      <c r="N38" s="363"/>
      <c r="O38" s="151"/>
      <c r="P38" s="363" t="str">
        <f t="shared" si="0"/>
        <v/>
      </c>
    </row>
    <row r="39" spans="2:16">
      <c r="B39" s="134"/>
      <c r="C39" s="133"/>
      <c r="D39" s="192"/>
      <c r="E39" s="125"/>
      <c r="F39" s="133"/>
      <c r="G39" s="133"/>
      <c r="H39" s="133"/>
      <c r="I39" s="365"/>
      <c r="J39" s="365"/>
      <c r="K39" s="365"/>
      <c r="L39" s="364"/>
      <c r="M39" s="108"/>
      <c r="N39" s="363"/>
      <c r="O39" s="151"/>
      <c r="P39" s="363" t="str">
        <f t="shared" si="0"/>
        <v/>
      </c>
    </row>
    <row r="40" spans="2:16">
      <c r="B40" s="336"/>
      <c r="C40" s="192"/>
      <c r="D40" s="135"/>
      <c r="E40" s="135"/>
      <c r="G40" s="362"/>
      <c r="H40" s="135"/>
      <c r="I40" s="135"/>
      <c r="J40" s="135"/>
      <c r="K40" s="135"/>
      <c r="L40" s="135"/>
      <c r="M40" s="108"/>
      <c r="N40" s="245"/>
      <c r="O40" s="151"/>
      <c r="P40" s="245" t="str">
        <f t="shared" si="0"/>
        <v/>
      </c>
    </row>
    <row r="41" spans="2:16">
      <c r="B41" s="336"/>
      <c r="C41" s="192"/>
      <c r="D41" s="135"/>
      <c r="E41" s="135"/>
      <c r="F41" s="133"/>
      <c r="G41" s="362"/>
      <c r="H41" s="135"/>
      <c r="I41" s="135"/>
      <c r="J41" s="135"/>
      <c r="K41" s="135"/>
      <c r="L41" s="135"/>
      <c r="M41" s="108"/>
      <c r="N41" s="245"/>
      <c r="O41" s="151"/>
      <c r="P41" s="245" t="str">
        <f t="shared" si="0"/>
        <v/>
      </c>
    </row>
    <row r="42" spans="2:16">
      <c r="B42" s="336"/>
      <c r="C42" s="192"/>
      <c r="D42" s="135"/>
      <c r="E42" s="135"/>
      <c r="F42" s="133" t="str">
        <f>F3</f>
        <v xml:space="preserve">AEP West SPP Member Companies </v>
      </c>
      <c r="G42" s="362"/>
      <c r="H42" s="135"/>
      <c r="I42" s="135"/>
      <c r="J42" s="135"/>
      <c r="K42" s="135"/>
      <c r="L42" s="135"/>
      <c r="M42" s="108"/>
      <c r="N42" s="245"/>
      <c r="O42" s="151"/>
      <c r="P42" s="245" t="str">
        <f t="shared" si="0"/>
        <v/>
      </c>
    </row>
    <row r="43" spans="2:16">
      <c r="B43" s="336"/>
      <c r="C43" s="192"/>
      <c r="D43" s="135"/>
      <c r="E43" s="139"/>
      <c r="F43" s="133" t="str">
        <f>F4</f>
        <v>Transmission Cost of Service Formula Rate</v>
      </c>
      <c r="G43" s="139"/>
      <c r="H43" s="139"/>
      <c r="I43" s="139"/>
      <c r="J43" s="139"/>
      <c r="K43" s="139"/>
      <c r="L43" s="139"/>
      <c r="M43" s="108"/>
      <c r="N43" s="174"/>
      <c r="O43" s="151"/>
      <c r="P43" s="174" t="str">
        <f t="shared" si="0"/>
        <v/>
      </c>
    </row>
    <row r="44" spans="2:16">
      <c r="B44" s="336"/>
      <c r="C44" s="192"/>
      <c r="D44" s="135"/>
      <c r="E44" s="139"/>
      <c r="F44" s="204" t="str">
        <f>F5</f>
        <v>Utilizing Actual Cost Data for 2013 with Average Ratebase Balances</v>
      </c>
      <c r="G44" s="139"/>
      <c r="H44" s="139"/>
      <c r="I44" s="139"/>
      <c r="J44" s="139"/>
      <c r="K44" s="139"/>
      <c r="L44" s="139"/>
      <c r="M44" s="108"/>
      <c r="N44" s="174"/>
      <c r="O44" s="151"/>
      <c r="P44" s="174" t="str">
        <f t="shared" si="0"/>
        <v/>
      </c>
    </row>
    <row r="45" spans="2:16">
      <c r="B45" s="336"/>
      <c r="C45" s="192"/>
      <c r="D45" s="135"/>
      <c r="E45" s="139"/>
      <c r="F45" s="133"/>
      <c r="G45" s="139"/>
      <c r="H45" s="139"/>
      <c r="I45" s="139"/>
      <c r="J45" s="139"/>
      <c r="K45" s="139"/>
      <c r="L45" s="139"/>
      <c r="M45" s="108"/>
      <c r="N45" s="174"/>
      <c r="O45" s="151"/>
      <c r="P45" s="174" t="str">
        <f t="shared" si="0"/>
        <v/>
      </c>
    </row>
    <row r="46" spans="2:16">
      <c r="B46" s="336"/>
      <c r="C46" s="192"/>
      <c r="D46" s="135"/>
      <c r="E46" s="139"/>
      <c r="F46" s="133" t="str">
        <f>F7</f>
        <v>AEP OKLAHOMA TRANSMISSION COMPANY, INC</v>
      </c>
      <c r="G46" s="139"/>
      <c r="H46" s="139"/>
      <c r="I46" s="139"/>
      <c r="J46" s="139"/>
      <c r="K46" s="139"/>
      <c r="L46" s="139"/>
      <c r="M46" s="108"/>
      <c r="N46" s="174"/>
      <c r="O46" s="151"/>
      <c r="P46" s="174" t="str">
        <f t="shared" si="0"/>
        <v/>
      </c>
    </row>
    <row r="47" spans="2:16">
      <c r="B47" s="336"/>
      <c r="C47" s="192"/>
      <c r="D47" s="135"/>
      <c r="E47" s="204"/>
      <c r="F47" s="204"/>
      <c r="G47" s="204"/>
      <c r="H47" s="204"/>
      <c r="I47" s="204"/>
      <c r="J47" s="204"/>
      <c r="K47" s="204"/>
      <c r="L47" s="139"/>
      <c r="M47" s="108"/>
      <c r="N47" s="174"/>
      <c r="O47" s="151"/>
      <c r="P47" s="174" t="str">
        <f t="shared" si="0"/>
        <v/>
      </c>
    </row>
    <row r="48" spans="2:16">
      <c r="B48" s="336"/>
      <c r="C48" s="192"/>
      <c r="D48" s="133" t="s">
        <v>462</v>
      </c>
      <c r="E48" s="133" t="s">
        <v>461</v>
      </c>
      <c r="F48" s="133"/>
      <c r="G48" s="133" t="s">
        <v>460</v>
      </c>
      <c r="H48" s="139" t="s">
        <v>288</v>
      </c>
      <c r="I48" s="481" t="s">
        <v>459</v>
      </c>
      <c r="J48" s="482"/>
      <c r="K48" s="139"/>
      <c r="L48" s="335" t="s">
        <v>458</v>
      </c>
      <c r="M48" s="108"/>
      <c r="N48" s="334" t="s">
        <v>458</v>
      </c>
      <c r="O48" s="151"/>
      <c r="P48" s="334">
        <f t="shared" si="0"/>
        <v>0</v>
      </c>
    </row>
    <row r="49" spans="2:16">
      <c r="B49" s="104"/>
      <c r="C49" s="192"/>
      <c r="D49" s="108"/>
      <c r="E49" s="337"/>
      <c r="F49" s="108"/>
      <c r="G49" s="255"/>
      <c r="H49" s="139"/>
      <c r="I49" s="139"/>
      <c r="J49" s="333"/>
      <c r="K49" s="139"/>
      <c r="L49" s="192"/>
      <c r="M49" s="108"/>
      <c r="N49" s="242"/>
      <c r="O49" s="151"/>
      <c r="P49" s="242" t="str">
        <f t="shared" si="0"/>
        <v/>
      </c>
    </row>
    <row r="50" spans="2:16" ht="15.75">
      <c r="B50" s="332"/>
      <c r="C50" s="133"/>
      <c r="D50" s="108"/>
      <c r="E50" s="330" t="s">
        <v>524</v>
      </c>
      <c r="F50" s="331"/>
      <c r="G50" s="139"/>
      <c r="H50" s="139"/>
      <c r="I50" s="139"/>
      <c r="J50" s="133"/>
      <c r="K50" s="139"/>
      <c r="L50" s="361" t="s">
        <v>372</v>
      </c>
      <c r="M50" s="108"/>
      <c r="N50" s="360" t="s">
        <v>372</v>
      </c>
      <c r="O50" s="151"/>
      <c r="P50" s="360" t="s">
        <v>372</v>
      </c>
    </row>
    <row r="51" spans="2:16" ht="15.75">
      <c r="B51" s="104"/>
      <c r="C51" s="132"/>
      <c r="D51" s="322" t="s">
        <v>523</v>
      </c>
      <c r="E51" s="359" t="s">
        <v>522</v>
      </c>
      <c r="F51" s="139"/>
      <c r="G51" s="322" t="s">
        <v>521</v>
      </c>
      <c r="H51" s="191"/>
      <c r="I51" s="471" t="s">
        <v>520</v>
      </c>
      <c r="J51" s="472"/>
      <c r="K51" s="191"/>
      <c r="L51" s="322" t="s">
        <v>455</v>
      </c>
      <c r="M51" s="108"/>
      <c r="N51" s="321" t="s">
        <v>455</v>
      </c>
      <c r="O51" s="151"/>
      <c r="P51" s="321" t="s">
        <v>455</v>
      </c>
    </row>
    <row r="52" spans="2:16">
      <c r="B52" s="319" t="str">
        <f>B9</f>
        <v>Line</v>
      </c>
      <c r="C52" s="133"/>
      <c r="D52" s="135"/>
      <c r="E52" s="139"/>
      <c r="F52" s="139"/>
      <c r="G52" s="358" t="s">
        <v>519</v>
      </c>
      <c r="H52" s="139"/>
      <c r="I52" s="139"/>
      <c r="J52" s="139"/>
      <c r="K52" s="139"/>
      <c r="L52" s="139"/>
      <c r="M52" s="108"/>
      <c r="N52" s="174"/>
      <c r="O52" s="151"/>
      <c r="P52" s="174" t="str">
        <f t="shared" ref="P52:P83" si="1">IF(N52="","",N52-L52)</f>
        <v/>
      </c>
    </row>
    <row r="53" spans="2:16" ht="15.75" thickBot="1">
      <c r="B53" s="243" t="str">
        <f>B10</f>
        <v>No.</v>
      </c>
      <c r="C53" s="133"/>
      <c r="D53" s="135" t="s">
        <v>518</v>
      </c>
      <c r="E53" s="234"/>
      <c r="F53" s="234"/>
      <c r="G53" s="131"/>
      <c r="H53" s="131"/>
      <c r="I53" s="175"/>
      <c r="J53" s="131"/>
      <c r="K53" s="131"/>
      <c r="L53" s="131"/>
      <c r="M53" s="108"/>
      <c r="N53" s="174"/>
      <c r="O53" s="151"/>
      <c r="P53" s="174" t="str">
        <f t="shared" si="1"/>
        <v/>
      </c>
    </row>
    <row r="54" spans="2:16">
      <c r="B54" s="134">
        <f>+B35+1</f>
        <v>16</v>
      </c>
      <c r="C54" s="133"/>
      <c r="D54" s="217" t="s">
        <v>374</v>
      </c>
      <c r="E54" s="131"/>
      <c r="F54" s="131"/>
      <c r="G54" s="154"/>
      <c r="H54" s="154"/>
      <c r="I54" s="175"/>
      <c r="J54" s="214"/>
      <c r="K54" s="131"/>
      <c r="L54" s="154"/>
      <c r="M54" s="108"/>
      <c r="N54" s="209"/>
      <c r="O54" s="151"/>
      <c r="P54" s="209" t="str">
        <f t="shared" si="1"/>
        <v/>
      </c>
    </row>
    <row r="55" spans="2:16">
      <c r="B55" s="134">
        <f t="shared" ref="B55:B63" si="2">+B54+1</f>
        <v>17</v>
      </c>
      <c r="C55" s="133"/>
      <c r="D55" s="217" t="s">
        <v>374</v>
      </c>
      <c r="E55" s="131"/>
      <c r="F55" s="131"/>
      <c r="G55" s="154"/>
      <c r="H55" s="154"/>
      <c r="I55" s="175"/>
      <c r="J55" s="214"/>
      <c r="K55" s="131"/>
      <c r="L55" s="154"/>
      <c r="M55" s="108"/>
      <c r="N55" s="209"/>
      <c r="O55" s="151"/>
      <c r="P55" s="209" t="str">
        <f t="shared" si="1"/>
        <v/>
      </c>
    </row>
    <row r="56" spans="2:16">
      <c r="B56" s="134">
        <f t="shared" si="2"/>
        <v>18</v>
      </c>
      <c r="C56" s="338"/>
      <c r="D56" s="353" t="s">
        <v>378</v>
      </c>
      <c r="E56" s="352" t="str">
        <f>"(Worksheet A ln "&amp;'[2]OKT WS A RB Support '!A18&amp;".E &amp; Ln "&amp;B199&amp;")"</f>
        <v>(Worksheet A ln 3.E &amp; Ln 113)</v>
      </c>
      <c r="F56" s="351"/>
      <c r="G56" s="154">
        <f>+'[2]OKT WS A RB Support '!G18</f>
        <v>156200849.5</v>
      </c>
      <c r="H56" s="154"/>
      <c r="I56" s="311" t="s">
        <v>269</v>
      </c>
      <c r="J56" s="131"/>
      <c r="K56" s="310"/>
      <c r="L56" s="309">
        <f>+L199</f>
        <v>151749390.65000001</v>
      </c>
      <c r="M56" s="108"/>
      <c r="N56" s="308">
        <v>156200849.5</v>
      </c>
      <c r="O56" s="151"/>
      <c r="P56" s="308">
        <f t="shared" si="1"/>
        <v>4451458.849999994</v>
      </c>
    </row>
    <row r="57" spans="2:16">
      <c r="B57" s="134">
        <f t="shared" si="2"/>
        <v>19</v>
      </c>
      <c r="C57" s="338"/>
      <c r="D57" s="155" t="s">
        <v>506</v>
      </c>
      <c r="E57" s="131" t="s">
        <v>517</v>
      </c>
      <c r="F57" s="351"/>
      <c r="G57" s="154">
        <f>-+'[2]OKT WS A RB Support '!G20</f>
        <v>0</v>
      </c>
      <c r="H57" s="154"/>
      <c r="I57" s="311" t="s">
        <v>264</v>
      </c>
      <c r="J57" s="214">
        <f>VLOOKUP(I57,PSO_TU_Allocators,2,FALSE)</f>
        <v>0.9715016988431936</v>
      </c>
      <c r="K57" s="310"/>
      <c r="L57" s="309">
        <f>+G57*J57</f>
        <v>0</v>
      </c>
      <c r="M57" s="108"/>
      <c r="N57" s="308">
        <v>0</v>
      </c>
      <c r="O57" s="151"/>
      <c r="P57" s="308">
        <f t="shared" si="1"/>
        <v>0</v>
      </c>
    </row>
    <row r="58" spans="2:16">
      <c r="B58" s="134">
        <f t="shared" si="2"/>
        <v>20</v>
      </c>
      <c r="C58" s="338"/>
      <c r="D58" s="217" t="s">
        <v>374</v>
      </c>
      <c r="E58" s="131"/>
      <c r="F58" s="131"/>
      <c r="G58" s="154"/>
      <c r="H58" s="154"/>
      <c r="I58" s="175"/>
      <c r="J58" s="214"/>
      <c r="K58" s="131"/>
      <c r="L58" s="154"/>
      <c r="M58" s="108"/>
      <c r="N58" s="209"/>
      <c r="O58" s="151"/>
      <c r="P58" s="209" t="str">
        <f t="shared" si="1"/>
        <v/>
      </c>
    </row>
    <row r="59" spans="2:16">
      <c r="B59" s="134">
        <f t="shared" si="2"/>
        <v>21</v>
      </c>
      <c r="C59" s="338"/>
      <c r="D59" s="217" t="s">
        <v>374</v>
      </c>
      <c r="E59" s="131"/>
      <c r="F59" s="131"/>
      <c r="G59" s="154"/>
      <c r="H59" s="154"/>
      <c r="I59" s="175"/>
      <c r="J59" s="214"/>
      <c r="K59" s="131"/>
      <c r="L59" s="154"/>
      <c r="M59" s="108"/>
      <c r="N59" s="209"/>
      <c r="O59" s="151"/>
      <c r="P59" s="209" t="str">
        <f t="shared" si="1"/>
        <v/>
      </c>
    </row>
    <row r="60" spans="2:16">
      <c r="B60" s="134">
        <f t="shared" si="2"/>
        <v>22</v>
      </c>
      <c r="C60" s="338"/>
      <c r="D60" s="135" t="s">
        <v>516</v>
      </c>
      <c r="E60" s="131" t="s">
        <v>515</v>
      </c>
      <c r="F60" s="343"/>
      <c r="G60" s="154">
        <f>+'[2]OKT WS A RB Support '!G26</f>
        <v>0</v>
      </c>
      <c r="H60" s="154"/>
      <c r="I60" s="175" t="s">
        <v>262</v>
      </c>
      <c r="J60" s="214">
        <f>VLOOKUP(I60,PSO_TU_Allocators,2,FALSE)</f>
        <v>0.9715016988431936</v>
      </c>
      <c r="K60" s="131"/>
      <c r="L60" s="154">
        <f>+J60*G60</f>
        <v>0</v>
      </c>
      <c r="M60" s="108"/>
      <c r="N60" s="209">
        <v>0</v>
      </c>
      <c r="O60" s="151"/>
      <c r="P60" s="209">
        <f t="shared" si="1"/>
        <v>0</v>
      </c>
    </row>
    <row r="61" spans="2:16">
      <c r="B61" s="134">
        <f t="shared" si="2"/>
        <v>23</v>
      </c>
      <c r="C61" s="338"/>
      <c r="D61" s="205" t="s">
        <v>502</v>
      </c>
      <c r="E61" s="131" t="s">
        <v>514</v>
      </c>
      <c r="F61" s="343"/>
      <c r="G61" s="177">
        <f>-'[2]OKT WS A RB Support '!G28</f>
        <v>0</v>
      </c>
      <c r="H61" s="154"/>
      <c r="I61" s="175" t="s">
        <v>262</v>
      </c>
      <c r="J61" s="214">
        <f>VLOOKUP(I61,PSO_TU_Allocators,2,FALSE)</f>
        <v>0.9715016988431936</v>
      </c>
      <c r="K61" s="131"/>
      <c r="L61" s="154">
        <f>+G61*J61</f>
        <v>0</v>
      </c>
      <c r="M61" s="108"/>
      <c r="N61" s="209">
        <v>0</v>
      </c>
      <c r="O61" s="151"/>
      <c r="P61" s="209">
        <f t="shared" si="1"/>
        <v>0</v>
      </c>
    </row>
    <row r="62" spans="2:16" ht="15.75" thickBot="1">
      <c r="B62" s="134">
        <f t="shared" si="2"/>
        <v>24</v>
      </c>
      <c r="C62" s="338"/>
      <c r="D62" s="135" t="s">
        <v>513</v>
      </c>
      <c r="E62" s="131" t="s">
        <v>512</v>
      </c>
      <c r="F62" s="343"/>
      <c r="G62" s="163">
        <f>+'[2]OKT WS A RB Support '!G30</f>
        <v>619596</v>
      </c>
      <c r="H62" s="154"/>
      <c r="I62" s="175" t="s">
        <v>262</v>
      </c>
      <c r="J62" s="214">
        <f>VLOOKUP(I62,PSO_TU_Allocators,2,FALSE)</f>
        <v>0.9715016988431936</v>
      </c>
      <c r="K62" s="131"/>
      <c r="L62" s="163">
        <f>+J62*G62</f>
        <v>601938.56659644737</v>
      </c>
      <c r="M62" s="108"/>
      <c r="N62" s="211">
        <v>619596</v>
      </c>
      <c r="O62" s="157"/>
      <c r="P62" s="211">
        <f t="shared" si="1"/>
        <v>17657.433403552626</v>
      </c>
    </row>
    <row r="63" spans="2:16" ht="15.75">
      <c r="B63" s="332">
        <f t="shared" si="2"/>
        <v>25</v>
      </c>
      <c r="C63" s="338"/>
      <c r="D63" s="135" t="s">
        <v>511</v>
      </c>
      <c r="E63" s="133" t="str">
        <f>"(sum lns "&amp;B54&amp;" to "&amp;B62&amp;")"</f>
        <v>(sum lns 16 to 24)</v>
      </c>
      <c r="F63" s="116"/>
      <c r="G63" s="154">
        <f>SUM(G54:G62)</f>
        <v>156820445.5</v>
      </c>
      <c r="H63" s="154"/>
      <c r="I63" s="356" t="s">
        <v>510</v>
      </c>
      <c r="J63" s="346">
        <f>IF(G63=0,0,L63/G63)</f>
        <v>0.9715016988431936</v>
      </c>
      <c r="K63" s="131"/>
      <c r="L63" s="154">
        <f>SUM(L54:L62)</f>
        <v>152351329.21659645</v>
      </c>
      <c r="M63" s="108"/>
      <c r="N63" s="209">
        <v>156820445.5</v>
      </c>
      <c r="O63" s="157"/>
      <c r="P63" s="209">
        <f t="shared" si="1"/>
        <v>4469116.2834035456</v>
      </c>
    </row>
    <row r="64" spans="2:16" ht="15.75">
      <c r="B64" s="332"/>
      <c r="C64" s="133"/>
      <c r="D64" s="135"/>
      <c r="E64" s="357"/>
      <c r="F64" s="116"/>
      <c r="G64" s="154"/>
      <c r="H64" s="154"/>
      <c r="I64" s="356" t="s">
        <v>509</v>
      </c>
      <c r="J64" s="250">
        <f>+G56/(++G56+G58)</f>
        <v>1</v>
      </c>
      <c r="K64" s="131"/>
      <c r="L64" s="154"/>
      <c r="M64" s="108"/>
      <c r="N64" s="209"/>
      <c r="O64" s="157"/>
      <c r="P64" s="209" t="str">
        <f t="shared" si="1"/>
        <v/>
      </c>
    </row>
    <row r="65" spans="2:16">
      <c r="B65" s="134">
        <f>+B63+1</f>
        <v>26</v>
      </c>
      <c r="C65" s="133"/>
      <c r="D65" s="135" t="s">
        <v>508</v>
      </c>
      <c r="E65" s="234"/>
      <c r="F65" s="234"/>
      <c r="G65" s="154"/>
      <c r="H65" s="355"/>
      <c r="I65" s="175"/>
      <c r="J65" s="354"/>
      <c r="K65" s="131"/>
      <c r="L65" s="154"/>
      <c r="M65" s="108"/>
      <c r="N65" s="209"/>
      <c r="O65" s="269"/>
      <c r="P65" s="209" t="str">
        <f t="shared" si="1"/>
        <v/>
      </c>
    </row>
    <row r="66" spans="2:16">
      <c r="B66" s="134">
        <f t="shared" ref="B66:B75" si="3">+B65+1</f>
        <v>27</v>
      </c>
      <c r="C66" s="133"/>
      <c r="D66" s="217" t="s">
        <v>374</v>
      </c>
      <c r="E66" s="131"/>
      <c r="F66" s="131"/>
      <c r="G66" s="154"/>
      <c r="H66" s="154"/>
      <c r="I66" s="175"/>
      <c r="J66" s="214"/>
      <c r="K66" s="131"/>
      <c r="L66" s="154"/>
      <c r="M66" s="108"/>
      <c r="N66" s="209"/>
      <c r="O66" s="269"/>
      <c r="P66" s="209" t="str">
        <f t="shared" si="1"/>
        <v/>
      </c>
    </row>
    <row r="67" spans="2:16">
      <c r="B67" s="134">
        <f t="shared" si="3"/>
        <v>28</v>
      </c>
      <c r="C67" s="133"/>
      <c r="D67" s="217" t="s">
        <v>374</v>
      </c>
      <c r="E67" s="131"/>
      <c r="F67" s="131"/>
      <c r="G67" s="154"/>
      <c r="H67" s="154"/>
      <c r="I67" s="175"/>
      <c r="J67" s="214"/>
      <c r="K67" s="131"/>
      <c r="L67" s="154"/>
      <c r="M67" s="108"/>
      <c r="N67" s="209"/>
      <c r="O67" s="269"/>
      <c r="P67" s="209" t="str">
        <f t="shared" si="1"/>
        <v/>
      </c>
    </row>
    <row r="68" spans="2:16" ht="15.75">
      <c r="B68" s="134">
        <f t="shared" si="3"/>
        <v>29</v>
      </c>
      <c r="C68" s="338"/>
      <c r="D68" s="353" t="str">
        <f>D56</f>
        <v xml:space="preserve">  Transmission</v>
      </c>
      <c r="E68" s="352" t="s">
        <v>507</v>
      </c>
      <c r="F68" s="351"/>
      <c r="G68" s="309">
        <f>+'[2]OKT WS A RB Support '!G42</f>
        <v>2436740.84</v>
      </c>
      <c r="H68" s="154"/>
      <c r="I68" s="350" t="s">
        <v>504</v>
      </c>
      <c r="J68" s="313">
        <f>IF(G68=0,0,L68/G68)</f>
        <v>1</v>
      </c>
      <c r="K68" s="310"/>
      <c r="L68" s="154">
        <f>+'[2]OKT WS A RB Support '!G74</f>
        <v>2436740.84</v>
      </c>
      <c r="M68" s="108"/>
      <c r="N68" s="209">
        <v>2474773.6550000003</v>
      </c>
      <c r="O68" s="269"/>
      <c r="P68" s="209">
        <f t="shared" si="1"/>
        <v>38032.81500000041</v>
      </c>
    </row>
    <row r="69" spans="2:16" ht="15.75">
      <c r="B69" s="134">
        <f t="shared" si="3"/>
        <v>30</v>
      </c>
      <c r="C69" s="338"/>
      <c r="D69" s="205" t="s">
        <v>506</v>
      </c>
      <c r="E69" s="131" t="s">
        <v>505</v>
      </c>
      <c r="F69" s="351"/>
      <c r="G69" s="177">
        <f>-'[2]OKT WS A RB Support '!G44</f>
        <v>0</v>
      </c>
      <c r="H69" s="154"/>
      <c r="I69" s="350" t="s">
        <v>504</v>
      </c>
      <c r="J69" s="214">
        <f>+J68</f>
        <v>1</v>
      </c>
      <c r="K69" s="310"/>
      <c r="L69" s="154">
        <f>+J69*G69</f>
        <v>0</v>
      </c>
      <c r="M69" s="108"/>
      <c r="N69" s="209">
        <v>0</v>
      </c>
      <c r="O69" s="269"/>
      <c r="P69" s="209">
        <f t="shared" si="1"/>
        <v>0</v>
      </c>
    </row>
    <row r="70" spans="2:16">
      <c r="B70" s="134">
        <f t="shared" si="3"/>
        <v>31</v>
      </c>
      <c r="C70" s="338"/>
      <c r="D70" s="217" t="s">
        <v>374</v>
      </c>
      <c r="E70" s="131"/>
      <c r="F70" s="131"/>
      <c r="G70" s="154"/>
      <c r="H70" s="154"/>
      <c r="I70" s="175"/>
      <c r="J70" s="214"/>
      <c r="K70" s="131"/>
      <c r="L70" s="154"/>
      <c r="M70" s="108"/>
      <c r="N70" s="209"/>
      <c r="O70" s="269"/>
      <c r="P70" s="209" t="str">
        <f t="shared" si="1"/>
        <v/>
      </c>
    </row>
    <row r="71" spans="2:16">
      <c r="B71" s="134">
        <f t="shared" si="3"/>
        <v>32</v>
      </c>
      <c r="C71" s="338"/>
      <c r="D71" s="217" t="s">
        <v>374</v>
      </c>
      <c r="E71" s="131"/>
      <c r="F71" s="131"/>
      <c r="G71" s="154"/>
      <c r="H71" s="154"/>
      <c r="I71" s="175"/>
      <c r="J71" s="214"/>
      <c r="K71" s="131"/>
      <c r="L71" s="154"/>
      <c r="M71" s="108"/>
      <c r="N71" s="209"/>
      <c r="O71" s="269"/>
      <c r="P71" s="209" t="str">
        <f t="shared" si="1"/>
        <v/>
      </c>
    </row>
    <row r="72" spans="2:16">
      <c r="B72" s="134">
        <f t="shared" si="3"/>
        <v>33</v>
      </c>
      <c r="C72" s="341"/>
      <c r="D72" s="119" t="str">
        <f>+D60</f>
        <v xml:space="preserve">  General Plant   </v>
      </c>
      <c r="E72" s="131" t="s">
        <v>503</v>
      </c>
      <c r="F72" s="343"/>
      <c r="G72" s="237">
        <f>+'[2]OKT WS A RB Support '!G50</f>
        <v>0</v>
      </c>
      <c r="H72" s="154"/>
      <c r="I72" s="175" t="s">
        <v>262</v>
      </c>
      <c r="J72" s="214">
        <f>VLOOKUP(I72,PSO_TU_Allocators,2,FALSE)</f>
        <v>0.9715016988431936</v>
      </c>
      <c r="K72" s="131"/>
      <c r="L72" s="154">
        <f>+J72*G72</f>
        <v>0</v>
      </c>
      <c r="M72" s="108"/>
      <c r="N72" s="209">
        <v>0</v>
      </c>
      <c r="O72" s="269"/>
      <c r="P72" s="209">
        <f t="shared" si="1"/>
        <v>0</v>
      </c>
    </row>
    <row r="73" spans="2:16">
      <c r="B73" s="134">
        <f t="shared" si="3"/>
        <v>34</v>
      </c>
      <c r="C73" s="341"/>
      <c r="D73" s="205" t="s">
        <v>502</v>
      </c>
      <c r="E73" s="131" t="s">
        <v>501</v>
      </c>
      <c r="F73" s="343"/>
      <c r="G73" s="177">
        <f>-'[2]OKT WS A RB Support '!G52</f>
        <v>0</v>
      </c>
      <c r="H73" s="154"/>
      <c r="I73" s="175" t="s">
        <v>262</v>
      </c>
      <c r="J73" s="214">
        <f>VLOOKUP(I73,PSO_TU_Allocators,2,FALSE)</f>
        <v>0.9715016988431936</v>
      </c>
      <c r="K73" s="131"/>
      <c r="L73" s="154">
        <f>+J73*G73</f>
        <v>0</v>
      </c>
      <c r="M73" s="108"/>
      <c r="N73" s="209">
        <v>0</v>
      </c>
      <c r="O73" s="269"/>
      <c r="P73" s="209">
        <f t="shared" si="1"/>
        <v>0</v>
      </c>
    </row>
    <row r="74" spans="2:16" ht="15.75" thickBot="1">
      <c r="B74" s="134">
        <f t="shared" si="3"/>
        <v>35</v>
      </c>
      <c r="C74" s="341"/>
      <c r="D74" s="119" t="str">
        <f>+D62</f>
        <v xml:space="preserve">  Intangible Plant</v>
      </c>
      <c r="E74" s="131" t="s">
        <v>500</v>
      </c>
      <c r="F74" s="343"/>
      <c r="G74" s="163">
        <f>+'[2]OKT WS A RB Support '!G54</f>
        <v>94335.5</v>
      </c>
      <c r="H74" s="154"/>
      <c r="I74" s="175" t="s">
        <v>262</v>
      </c>
      <c r="J74" s="214">
        <f>VLOOKUP(I74,PSO_TU_Allocators,2,FALSE)</f>
        <v>0.9715016988431936</v>
      </c>
      <c r="K74" s="131"/>
      <c r="L74" s="163">
        <f>+J74*G74</f>
        <v>91647.098511222095</v>
      </c>
      <c r="M74" s="108"/>
      <c r="N74" s="211">
        <v>94335.5</v>
      </c>
      <c r="O74" s="269"/>
      <c r="P74" s="211">
        <f t="shared" si="1"/>
        <v>2688.4014887779049</v>
      </c>
    </row>
    <row r="75" spans="2:16">
      <c r="B75" s="134">
        <f t="shared" si="3"/>
        <v>36</v>
      </c>
      <c r="C75" s="341"/>
      <c r="D75" s="119" t="s">
        <v>499</v>
      </c>
      <c r="E75" s="349" t="str">
        <f>"(sum lns "&amp;B66&amp;" to "&amp;B74&amp;")"</f>
        <v>(sum lns 27 to 35)</v>
      </c>
      <c r="F75" s="347"/>
      <c r="G75" s="154">
        <f>SUM(G66:G74)</f>
        <v>2531076.34</v>
      </c>
      <c r="H75" s="154"/>
      <c r="I75" s="175"/>
      <c r="J75" s="131"/>
      <c r="K75" s="154"/>
      <c r="L75" s="154">
        <f>SUM(L66:L74)</f>
        <v>2528387.9385112221</v>
      </c>
      <c r="M75" s="108"/>
      <c r="N75" s="209">
        <v>2569109.1550000003</v>
      </c>
      <c r="O75" s="269"/>
      <c r="P75" s="209">
        <f t="shared" si="1"/>
        <v>40721.216488778125</v>
      </c>
    </row>
    <row r="76" spans="2:16">
      <c r="B76" s="134"/>
      <c r="C76" s="133"/>
      <c r="D76" s="192"/>
      <c r="E76" s="348"/>
      <c r="F76" s="347"/>
      <c r="G76" s="154"/>
      <c r="H76" s="154"/>
      <c r="I76" s="175"/>
      <c r="J76" s="344"/>
      <c r="K76" s="131"/>
      <c r="L76" s="154"/>
      <c r="M76" s="108"/>
      <c r="N76" s="209"/>
      <c r="O76" s="269"/>
      <c r="P76" s="209" t="str">
        <f t="shared" si="1"/>
        <v/>
      </c>
    </row>
    <row r="77" spans="2:16">
      <c r="B77" s="134">
        <f>+B75+1</f>
        <v>37</v>
      </c>
      <c r="C77" s="133"/>
      <c r="D77" s="135" t="s">
        <v>498</v>
      </c>
      <c r="E77" s="234"/>
      <c r="F77" s="234"/>
      <c r="G77" s="154"/>
      <c r="H77" s="154"/>
      <c r="I77" s="175"/>
      <c r="J77" s="131"/>
      <c r="K77" s="131"/>
      <c r="L77" s="154"/>
      <c r="M77" s="108"/>
      <c r="N77" s="209"/>
      <c r="O77" s="269"/>
      <c r="P77" s="209" t="str">
        <f t="shared" si="1"/>
        <v/>
      </c>
    </row>
    <row r="78" spans="2:16">
      <c r="B78" s="332">
        <f t="shared" ref="B78:B83" si="4">+B77+1</f>
        <v>38</v>
      </c>
      <c r="C78" s="338"/>
      <c r="D78" s="217" t="s">
        <v>374</v>
      </c>
      <c r="E78" s="131"/>
      <c r="F78" s="131"/>
      <c r="G78" s="154"/>
      <c r="H78" s="154"/>
      <c r="I78" s="175"/>
      <c r="J78" s="214"/>
      <c r="K78" s="131"/>
      <c r="L78" s="154"/>
      <c r="M78" s="108"/>
      <c r="N78" s="209"/>
      <c r="O78" s="269"/>
      <c r="P78" s="209" t="str">
        <f t="shared" si="1"/>
        <v/>
      </c>
    </row>
    <row r="79" spans="2:16">
      <c r="B79" s="332">
        <f t="shared" si="4"/>
        <v>39</v>
      </c>
      <c r="C79" s="338"/>
      <c r="D79" s="205" t="str">
        <f>+D68</f>
        <v xml:space="preserve">  Transmission</v>
      </c>
      <c r="E79" s="131" t="str">
        <f>" (ln "&amp;B56&amp;" + ln "&amp;B57&amp;" - ln "&amp;B68&amp;" - ln "&amp;B69&amp;")"</f>
        <v xml:space="preserve"> (ln 18 + ln 19 - ln 29 - ln 30)</v>
      </c>
      <c r="F79" s="343"/>
      <c r="G79" s="154">
        <f>+G56+G57-G68-G69</f>
        <v>153764108.66</v>
      </c>
      <c r="H79" s="154"/>
      <c r="I79" s="175"/>
      <c r="J79" s="313"/>
      <c r="K79" s="131"/>
      <c r="L79" s="154">
        <f>+L56+L57-L68-L69</f>
        <v>149312649.81</v>
      </c>
      <c r="M79" s="108"/>
      <c r="N79" s="209">
        <v>153726075.845</v>
      </c>
      <c r="O79" s="269"/>
      <c r="P79" s="209">
        <f t="shared" si="1"/>
        <v>4413426.0349999964</v>
      </c>
    </row>
    <row r="80" spans="2:16">
      <c r="B80" s="332">
        <f t="shared" si="4"/>
        <v>40</v>
      </c>
      <c r="C80" s="338"/>
      <c r="D80" s="217" t="s">
        <v>374</v>
      </c>
      <c r="E80" s="131"/>
      <c r="F80" s="131"/>
      <c r="G80" s="154"/>
      <c r="H80" s="154"/>
      <c r="I80" s="175"/>
      <c r="J80" s="214"/>
      <c r="K80" s="131"/>
      <c r="L80" s="154"/>
      <c r="M80" s="108"/>
      <c r="N80" s="209"/>
      <c r="O80" s="269"/>
      <c r="P80" s="209" t="str">
        <f t="shared" si="1"/>
        <v/>
      </c>
    </row>
    <row r="81" spans="2:16">
      <c r="B81" s="332">
        <f t="shared" si="4"/>
        <v>41</v>
      </c>
      <c r="C81" s="338"/>
      <c r="D81" s="205" t="str">
        <f>+D72</f>
        <v xml:space="preserve">  General Plant   </v>
      </c>
      <c r="E81" s="131" t="str">
        <f>" (ln "&amp;B60&amp;" + ln "&amp;B61&amp;" - ln "&amp;B72&amp;" - ln "&amp;B73&amp;")"</f>
        <v xml:space="preserve"> (ln 22 + ln 23 - ln 33 - ln 34)</v>
      </c>
      <c r="F81" s="131"/>
      <c r="G81" s="154">
        <f>+G60+G61-G72-G73</f>
        <v>0</v>
      </c>
      <c r="H81" s="154"/>
      <c r="I81" s="175"/>
      <c r="J81" s="344"/>
      <c r="K81" s="131"/>
      <c r="L81" s="154">
        <f>+L60+L61-L72-L73</f>
        <v>0</v>
      </c>
      <c r="M81" s="108"/>
      <c r="N81" s="209">
        <v>0</v>
      </c>
      <c r="O81" s="269"/>
      <c r="P81" s="209">
        <f t="shared" si="1"/>
        <v>0</v>
      </c>
    </row>
    <row r="82" spans="2:16" ht="15.75" thickBot="1">
      <c r="B82" s="332">
        <f t="shared" si="4"/>
        <v>42</v>
      </c>
      <c r="C82" s="338"/>
      <c r="D82" s="205" t="str">
        <f>+D74</f>
        <v xml:space="preserve">  Intangible Plant</v>
      </c>
      <c r="E82" s="131" t="str">
        <f>" (ln "&amp;B62&amp;" - ln "&amp;B74&amp;")"</f>
        <v xml:space="preserve"> (ln 24 - ln 35)</v>
      </c>
      <c r="F82" s="131"/>
      <c r="G82" s="163">
        <f>+G62-G74</f>
        <v>525260.5</v>
      </c>
      <c r="H82" s="154"/>
      <c r="I82" s="175"/>
      <c r="J82" s="344"/>
      <c r="K82" s="131"/>
      <c r="L82" s="163">
        <f>+L62-L74</f>
        <v>510291.46808522526</v>
      </c>
      <c r="M82" s="108"/>
      <c r="N82" s="211">
        <v>525260.5</v>
      </c>
      <c r="O82" s="269"/>
      <c r="P82" s="211">
        <f t="shared" si="1"/>
        <v>14969.031914774736</v>
      </c>
    </row>
    <row r="83" spans="2:16" ht="15.75">
      <c r="B83" s="332">
        <f t="shared" si="4"/>
        <v>43</v>
      </c>
      <c r="C83" s="338"/>
      <c r="D83" s="205" t="s">
        <v>497</v>
      </c>
      <c r="E83" s="205" t="str">
        <f>"(sum lns "&amp;B78&amp;" to "&amp;B82&amp;")"</f>
        <v>(sum lns 38 to 42)</v>
      </c>
      <c r="F83" s="131"/>
      <c r="G83" s="154">
        <f>SUM(G78:G82)</f>
        <v>154289369.16</v>
      </c>
      <c r="H83" s="154"/>
      <c r="I83" s="153" t="s">
        <v>496</v>
      </c>
      <c r="J83" s="346">
        <f>IF(G83=0,0,L83/G83)</f>
        <v>0.97105161615326185</v>
      </c>
      <c r="K83" s="131"/>
      <c r="L83" s="154">
        <f>SUM(L79:L82)</f>
        <v>149822941.27808523</v>
      </c>
      <c r="M83" s="108"/>
      <c r="N83" s="209">
        <v>154251336.345</v>
      </c>
      <c r="O83" s="269"/>
      <c r="P83" s="209">
        <f t="shared" si="1"/>
        <v>4428395.066914767</v>
      </c>
    </row>
    <row r="84" spans="2:16">
      <c r="B84" s="134"/>
      <c r="C84" s="133"/>
      <c r="D84" s="135"/>
      <c r="E84" s="131"/>
      <c r="F84" s="131"/>
      <c r="G84" s="154"/>
      <c r="H84" s="154"/>
      <c r="I84" s="120"/>
      <c r="J84" s="126"/>
      <c r="K84" s="131"/>
      <c r="L84" s="154"/>
      <c r="M84" s="108"/>
      <c r="N84" s="209"/>
      <c r="O84" s="269"/>
      <c r="P84" s="209" t="str">
        <f t="shared" ref="P84:P115" si="5">IF(N84="","",N84-L84)</f>
        <v/>
      </c>
    </row>
    <row r="85" spans="2:16">
      <c r="B85" s="134"/>
      <c r="C85" s="133"/>
      <c r="D85" s="192"/>
      <c r="G85" s="108"/>
      <c r="H85" s="108"/>
      <c r="I85" s="108"/>
      <c r="J85" s="108"/>
      <c r="K85" s="108"/>
      <c r="L85" s="108"/>
      <c r="M85" s="108"/>
      <c r="N85" s="317"/>
      <c r="O85" s="269"/>
      <c r="P85" s="317" t="str">
        <f t="shared" si="5"/>
        <v/>
      </c>
    </row>
    <row r="86" spans="2:16">
      <c r="B86" s="134">
        <f>+B83+1</f>
        <v>44</v>
      </c>
      <c r="C86" s="133"/>
      <c r="D86" s="135" t="s">
        <v>495</v>
      </c>
      <c r="E86" s="131" t="s">
        <v>494</v>
      </c>
      <c r="F86" s="175"/>
      <c r="G86" s="108"/>
      <c r="H86" s="108"/>
      <c r="I86" s="108"/>
      <c r="J86" s="108"/>
      <c r="K86" s="108"/>
      <c r="L86" s="108"/>
      <c r="M86" s="108"/>
      <c r="N86" s="317"/>
      <c r="O86" s="269"/>
      <c r="P86" s="317" t="str">
        <f t="shared" si="5"/>
        <v/>
      </c>
    </row>
    <row r="87" spans="2:16">
      <c r="B87" s="332">
        <f t="shared" ref="B87:B92" si="6">+B86+1</f>
        <v>45</v>
      </c>
      <c r="C87" s="338"/>
      <c r="D87" s="155" t="s">
        <v>493</v>
      </c>
      <c r="E87" s="131" t="s">
        <v>492</v>
      </c>
      <c r="F87" s="131"/>
      <c r="G87" s="154">
        <f>+'[2]OKT Historic TCOS'!G97</f>
        <v>0</v>
      </c>
      <c r="H87" s="154"/>
      <c r="I87" s="175" t="s">
        <v>266</v>
      </c>
      <c r="J87" s="214"/>
      <c r="K87" s="131"/>
      <c r="L87" s="154">
        <v>0</v>
      </c>
      <c r="M87" s="108"/>
      <c r="N87" s="209">
        <v>0</v>
      </c>
      <c r="O87" s="269"/>
      <c r="P87" s="209">
        <f t="shared" si="5"/>
        <v>0</v>
      </c>
    </row>
    <row r="88" spans="2:16">
      <c r="B88" s="332">
        <f t="shared" si="6"/>
        <v>46</v>
      </c>
      <c r="C88" s="338"/>
      <c r="D88" s="155" t="s">
        <v>491</v>
      </c>
      <c r="E88" s="131" t="s">
        <v>490</v>
      </c>
      <c r="F88" s="343"/>
      <c r="G88" s="154">
        <f>+'[2]OKT WS C RB Tax'!D27</f>
        <v>-30163085.515000001</v>
      </c>
      <c r="H88" s="154"/>
      <c r="I88" s="175" t="s">
        <v>269</v>
      </c>
      <c r="J88" s="214"/>
      <c r="K88" s="131"/>
      <c r="L88" s="154">
        <f>+'[2]OKT WS C RB Tax'!J29</f>
        <v>-29295786.525816042</v>
      </c>
      <c r="M88" s="108"/>
      <c r="N88" s="209">
        <v>-30163085.515000001</v>
      </c>
      <c r="O88" s="269"/>
      <c r="P88" s="209">
        <f t="shared" si="5"/>
        <v>-867298.98918395862</v>
      </c>
    </row>
    <row r="89" spans="2:16">
      <c r="B89" s="332">
        <f t="shared" si="6"/>
        <v>47</v>
      </c>
      <c r="C89" s="338"/>
      <c r="D89" s="155" t="s">
        <v>489</v>
      </c>
      <c r="E89" s="131" t="s">
        <v>488</v>
      </c>
      <c r="F89" s="343"/>
      <c r="G89" s="154">
        <f>+'[2]OKT WS C RB Tax'!D44</f>
        <v>-7048203.7799999993</v>
      </c>
      <c r="H89" s="154"/>
      <c r="I89" s="175" t="s">
        <v>269</v>
      </c>
      <c r="J89" s="214"/>
      <c r="K89" s="131"/>
      <c r="L89" s="154">
        <f>+'[2]OKT WS C RB Tax'!J46</f>
        <v>-5411675.71</v>
      </c>
      <c r="M89" s="108"/>
      <c r="N89" s="209">
        <v>-5411675.71</v>
      </c>
      <c r="O89" s="269"/>
      <c r="P89" s="209">
        <f t="shared" si="5"/>
        <v>0</v>
      </c>
    </row>
    <row r="90" spans="2:16">
      <c r="B90" s="332">
        <f t="shared" si="6"/>
        <v>48</v>
      </c>
      <c r="C90" s="338"/>
      <c r="D90" s="155" t="s">
        <v>487</v>
      </c>
      <c r="E90" s="131" t="s">
        <v>486</v>
      </c>
      <c r="F90" s="343"/>
      <c r="G90" s="154">
        <f>+'[2]OKT WS C RB Tax'!D62</f>
        <v>10682610.285</v>
      </c>
      <c r="H90" s="154"/>
      <c r="I90" s="175" t="s">
        <v>269</v>
      </c>
      <c r="J90" s="214"/>
      <c r="K90" s="131"/>
      <c r="L90" s="154">
        <f>+'[2]OKT WS C RB Tax'!J64</f>
        <v>6006624.4700000007</v>
      </c>
      <c r="M90" s="108"/>
      <c r="N90" s="209">
        <v>6006624.4700000007</v>
      </c>
      <c r="O90" s="269"/>
      <c r="P90" s="209">
        <f t="shared" si="5"/>
        <v>0</v>
      </c>
    </row>
    <row r="91" spans="2:16" ht="15.75" thickBot="1">
      <c r="B91" s="332">
        <f t="shared" si="6"/>
        <v>49</v>
      </c>
      <c r="C91" s="338"/>
      <c r="D91" s="276" t="s">
        <v>485</v>
      </c>
      <c r="E91" s="131" t="s">
        <v>484</v>
      </c>
      <c r="F91" s="345"/>
      <c r="G91" s="163">
        <f>+'[2]OKT WS C RB Tax'!D79</f>
        <v>0</v>
      </c>
      <c r="H91" s="154"/>
      <c r="I91" s="175" t="s">
        <v>269</v>
      </c>
      <c r="J91" s="214"/>
      <c r="K91" s="131"/>
      <c r="L91" s="163">
        <f>+'[2]OKT WS C RB Tax'!J81</f>
        <v>0</v>
      </c>
      <c r="M91" s="108"/>
      <c r="N91" s="211">
        <v>0</v>
      </c>
      <c r="O91" s="269"/>
      <c r="P91" s="211">
        <f t="shared" si="5"/>
        <v>0</v>
      </c>
    </row>
    <row r="92" spans="2:16">
      <c r="B92" s="332">
        <f t="shared" si="6"/>
        <v>50</v>
      </c>
      <c r="C92" s="338"/>
      <c r="D92" s="205" t="s">
        <v>483</v>
      </c>
      <c r="E92" s="205" t="str">
        <f>"(sum lns "&amp;B87&amp;" to "&amp;B91&amp;")"</f>
        <v>(sum lns 45 to 49)</v>
      </c>
      <c r="F92" s="131"/>
      <c r="G92" s="154">
        <f>SUM(G87:G91)</f>
        <v>-26528679.010000002</v>
      </c>
      <c r="H92" s="143"/>
      <c r="I92" s="175"/>
      <c r="J92" s="166"/>
      <c r="K92" s="131"/>
      <c r="L92" s="154">
        <f>SUM(L87:L91)</f>
        <v>-28700837.76581604</v>
      </c>
      <c r="M92" s="108"/>
      <c r="N92" s="209">
        <v>-29568136.755000003</v>
      </c>
      <c r="O92" s="151"/>
      <c r="P92" s="209">
        <f t="shared" si="5"/>
        <v>-867298.98918396235</v>
      </c>
    </row>
    <row r="93" spans="2:16">
      <c r="B93" s="134"/>
      <c r="C93" s="133"/>
      <c r="D93" s="205"/>
      <c r="E93" s="131"/>
      <c r="F93" s="131"/>
      <c r="G93" s="154"/>
      <c r="H93" s="143"/>
      <c r="I93" s="175"/>
      <c r="J93" s="344"/>
      <c r="K93" s="131"/>
      <c r="L93" s="154"/>
      <c r="M93" s="108"/>
      <c r="N93" s="209"/>
      <c r="O93" s="151"/>
      <c r="P93" s="209" t="str">
        <f t="shared" si="5"/>
        <v/>
      </c>
    </row>
    <row r="94" spans="2:16">
      <c r="B94" s="134">
        <f>+B92+1</f>
        <v>51</v>
      </c>
      <c r="C94" s="133"/>
      <c r="D94" s="205" t="s">
        <v>482</v>
      </c>
      <c r="E94" s="131" t="s">
        <v>481</v>
      </c>
      <c r="F94" s="131"/>
      <c r="G94" s="154">
        <f>+'[2]OKT WS A RB Support '!G78</f>
        <v>0</v>
      </c>
      <c r="H94" s="143"/>
      <c r="I94" s="175" t="s">
        <v>269</v>
      </c>
      <c r="J94" s="214"/>
      <c r="K94" s="131"/>
      <c r="L94" s="154">
        <f>+'[2]OKT WS A RB Support '!G80</f>
        <v>0</v>
      </c>
      <c r="M94" s="108"/>
      <c r="N94" s="209">
        <v>0</v>
      </c>
      <c r="O94" s="151"/>
      <c r="P94" s="209">
        <f t="shared" si="5"/>
        <v>0</v>
      </c>
    </row>
    <row r="95" spans="2:16">
      <c r="B95" s="134"/>
      <c r="C95" s="133"/>
      <c r="D95" s="205"/>
      <c r="E95" s="131"/>
      <c r="F95" s="131"/>
      <c r="G95" s="154"/>
      <c r="H95" s="143"/>
      <c r="I95" s="175"/>
      <c r="J95" s="214"/>
      <c r="K95" s="131"/>
      <c r="L95" s="154"/>
      <c r="M95" s="108"/>
      <c r="N95" s="209"/>
      <c r="O95" s="151"/>
      <c r="P95" s="209" t="str">
        <f t="shared" si="5"/>
        <v/>
      </c>
    </row>
    <row r="96" spans="2:16" s="105" customFormat="1">
      <c r="B96" s="115" t="s">
        <v>480</v>
      </c>
      <c r="C96" s="114"/>
      <c r="D96" s="155" t="s">
        <v>479</v>
      </c>
      <c r="E96" s="131" t="str">
        <f>"(Worksheet A ln "&amp;'[2]OKT WS A RB Support '!A96&amp;". "&amp;'[2]OKT WS A RB Support '!G6&amp;")"</f>
        <v>(Worksheet A ln NOTE 1 . (E))</v>
      </c>
      <c r="F96" s="131"/>
      <c r="G96" s="154">
        <f>'[2]OKT WS A RB Support '!G96</f>
        <v>0</v>
      </c>
      <c r="H96" s="304"/>
      <c r="I96" s="175" t="s">
        <v>269</v>
      </c>
      <c r="J96" s="214"/>
      <c r="K96" s="131"/>
      <c r="L96" s="154">
        <f>+G96</f>
        <v>0</v>
      </c>
      <c r="M96" s="304"/>
      <c r="N96" s="209">
        <v>0</v>
      </c>
      <c r="O96" s="151"/>
      <c r="P96" s="209">
        <f t="shared" si="5"/>
        <v>0</v>
      </c>
    </row>
    <row r="97" spans="1:16">
      <c r="B97" s="134"/>
      <c r="C97" s="133"/>
      <c r="D97" s="205"/>
      <c r="E97" s="131"/>
      <c r="F97" s="131"/>
      <c r="G97" s="154"/>
      <c r="H97" s="143"/>
      <c r="I97" s="175"/>
      <c r="J97" s="214"/>
      <c r="K97" s="131"/>
      <c r="L97" s="154"/>
      <c r="M97" s="108"/>
      <c r="N97" s="209"/>
      <c r="O97" s="151"/>
      <c r="P97" s="209" t="str">
        <f t="shared" si="5"/>
        <v/>
      </c>
    </row>
    <row r="98" spans="1:16">
      <c r="B98" s="134">
        <f>+B94+1</f>
        <v>52</v>
      </c>
      <c r="C98" s="133"/>
      <c r="D98" s="205" t="s">
        <v>478</v>
      </c>
      <c r="E98" s="131" t="s">
        <v>477</v>
      </c>
      <c r="F98" s="131"/>
      <c r="G98" s="154"/>
      <c r="H98" s="143"/>
      <c r="I98" s="175"/>
      <c r="J98" s="131"/>
      <c r="K98" s="131"/>
      <c r="L98" s="154"/>
      <c r="M98" s="108"/>
      <c r="N98" s="209"/>
      <c r="O98" s="151"/>
      <c r="P98" s="209" t="str">
        <f t="shared" si="5"/>
        <v/>
      </c>
    </row>
    <row r="99" spans="1:16">
      <c r="B99" s="332">
        <f t="shared" ref="B99:B107" si="7">+B98+1</f>
        <v>53</v>
      </c>
      <c r="C99" s="338"/>
      <c r="D99" s="205" t="s">
        <v>476</v>
      </c>
      <c r="E99" s="120" t="str">
        <f>"(1/8 * ln "&amp;B130&amp;") (Note G)"</f>
        <v>(1/8 * ln 68) (Note G)</v>
      </c>
      <c r="F99" s="120"/>
      <c r="G99" s="154">
        <f>+G130/8</f>
        <v>41205.375</v>
      </c>
      <c r="H99" s="131"/>
      <c r="I99" s="175"/>
      <c r="J99" s="344"/>
      <c r="K99" s="131"/>
      <c r="L99" s="154">
        <f>+L130/8</f>
        <v>40031.091813970859</v>
      </c>
      <c r="M99" s="108"/>
      <c r="N99" s="209">
        <v>41205.375</v>
      </c>
      <c r="O99" s="151"/>
      <c r="P99" s="209">
        <f t="shared" si="5"/>
        <v>1174.2831860291408</v>
      </c>
    </row>
    <row r="100" spans="1:16">
      <c r="B100" s="342">
        <f t="shared" si="7"/>
        <v>54</v>
      </c>
      <c r="C100" s="341"/>
      <c r="D100" s="205" t="s">
        <v>475</v>
      </c>
      <c r="E100" s="131" t="str">
        <f>"(Worksheet D, ln "&amp;'[2]OKT WS D Working Capital'!A15&amp;"."&amp;'[2]OKT WS D Working Capital'!I$6&amp;")"</f>
        <v>(Worksheet D, ln 2.(F))</v>
      </c>
      <c r="F100" s="343"/>
      <c r="G100" s="154">
        <f>+'[2]OKT WS D Working Capital'!I15</f>
        <v>0</v>
      </c>
      <c r="H100" s="108"/>
      <c r="I100" s="204" t="s">
        <v>264</v>
      </c>
      <c r="J100" s="214">
        <f t="shared" ref="J100:J106" si="8">VLOOKUP(I100,PSO_TU_Allocators,2,FALSE)</f>
        <v>0.9715016988431936</v>
      </c>
      <c r="K100" s="139"/>
      <c r="L100" s="210">
        <f>+J100*G100</f>
        <v>0</v>
      </c>
      <c r="M100" s="108"/>
      <c r="N100" s="209">
        <v>0</v>
      </c>
      <c r="O100" s="151"/>
      <c r="P100" s="209">
        <f t="shared" si="5"/>
        <v>0</v>
      </c>
    </row>
    <row r="101" spans="1:16">
      <c r="B101" s="342">
        <f t="shared" si="7"/>
        <v>55</v>
      </c>
      <c r="C101" s="341"/>
      <c r="D101" s="205" t="s">
        <v>474</v>
      </c>
      <c r="E101" s="131" t="str">
        <f>"(Worksheet D, ln "&amp;'[2]OKT WS D Working Capital'!A17&amp;"."&amp;'[2]OKT WS D Working Capital'!I$6&amp;")"</f>
        <v>(Worksheet D, ln 3.(F))</v>
      </c>
      <c r="F101" s="343"/>
      <c r="G101" s="154">
        <f>+'[2]OKT WS D Working Capital'!I17</f>
        <v>0</v>
      </c>
      <c r="H101" s="108"/>
      <c r="I101" s="204" t="s">
        <v>262</v>
      </c>
      <c r="J101" s="214">
        <f t="shared" si="8"/>
        <v>0.9715016988431936</v>
      </c>
      <c r="K101" s="139"/>
      <c r="L101" s="210">
        <f>+J101*G101</f>
        <v>0</v>
      </c>
      <c r="M101" s="108"/>
      <c r="N101" s="209">
        <v>0</v>
      </c>
      <c r="O101" s="151"/>
      <c r="P101" s="209">
        <f t="shared" si="5"/>
        <v>0</v>
      </c>
    </row>
    <row r="102" spans="1:16">
      <c r="B102" s="342">
        <f t="shared" si="7"/>
        <v>56</v>
      </c>
      <c r="C102" s="341"/>
      <c r="D102" s="205" t="s">
        <v>473</v>
      </c>
      <c r="E102" s="131" t="str">
        <f>"(Worksheet D, ln "&amp;'[2]OKT WS D Working Capital'!A19&amp;"."&amp;'[2]OKT WS D Working Capital'!I$6&amp;")"</f>
        <v>(Worksheet D, ln 4.(F))</v>
      </c>
      <c r="F102" s="343"/>
      <c r="G102" s="154">
        <f>+'[2]OKT WS D Working Capital'!I19</f>
        <v>0</v>
      </c>
      <c r="H102" s="108"/>
      <c r="I102" s="204" t="s">
        <v>268</v>
      </c>
      <c r="J102" s="214">
        <f t="shared" si="8"/>
        <v>0.9715016988431936</v>
      </c>
      <c r="K102" s="139"/>
      <c r="L102" s="210">
        <f>+J102*G102</f>
        <v>0</v>
      </c>
      <c r="M102" s="108"/>
      <c r="N102" s="209">
        <v>0</v>
      </c>
      <c r="O102" s="151"/>
      <c r="P102" s="209">
        <f t="shared" si="5"/>
        <v>0</v>
      </c>
    </row>
    <row r="103" spans="1:16">
      <c r="A103" s="105"/>
      <c r="B103" s="342">
        <f t="shared" si="7"/>
        <v>57</v>
      </c>
      <c r="C103" s="341"/>
      <c r="D103" s="155" t="s">
        <v>472</v>
      </c>
      <c r="E103" s="131" t="s">
        <v>471</v>
      </c>
      <c r="F103" s="339"/>
      <c r="G103" s="154">
        <f>+'[2]OKT WS D Working Capital'!J29</f>
        <v>4807.0171107195074</v>
      </c>
      <c r="H103" s="340"/>
      <c r="I103" s="175" t="s">
        <v>262</v>
      </c>
      <c r="J103" s="214">
        <f t="shared" si="8"/>
        <v>0.9715016988431936</v>
      </c>
      <c r="K103" s="131"/>
      <c r="L103" s="154">
        <f>+J103*G103</f>
        <v>4670.0252894323012</v>
      </c>
      <c r="M103" s="108"/>
      <c r="N103" s="209">
        <v>4807.0171107195074</v>
      </c>
      <c r="O103" s="151"/>
      <c r="P103" s="209">
        <f t="shared" si="5"/>
        <v>136.99182128720622</v>
      </c>
    </row>
    <row r="104" spans="1:16">
      <c r="B104" s="332">
        <f t="shared" si="7"/>
        <v>58</v>
      </c>
      <c r="C104" s="338"/>
      <c r="D104" s="205" t="s">
        <v>470</v>
      </c>
      <c r="E104" s="131" t="s">
        <v>469</v>
      </c>
      <c r="F104" s="339"/>
      <c r="G104" s="154">
        <f>+'[2]OKT WS D Working Capital'!I29</f>
        <v>26770.58788928049</v>
      </c>
      <c r="H104" s="143"/>
      <c r="I104" s="175" t="s">
        <v>268</v>
      </c>
      <c r="J104" s="214">
        <f t="shared" si="8"/>
        <v>0.9715016988431936</v>
      </c>
      <c r="K104" s="131"/>
      <c r="L104" s="154">
        <f>+G104*J104</f>
        <v>26007.671613467021</v>
      </c>
      <c r="M104" s="108"/>
      <c r="N104" s="209">
        <v>26770.58788928049</v>
      </c>
      <c r="O104" s="151"/>
      <c r="P104" s="209">
        <f t="shared" si="5"/>
        <v>762.91627581346984</v>
      </c>
    </row>
    <row r="105" spans="1:16">
      <c r="B105" s="332">
        <f t="shared" si="7"/>
        <v>59</v>
      </c>
      <c r="C105" s="338"/>
      <c r="D105" s="205" t="s">
        <v>468</v>
      </c>
      <c r="E105" s="131" t="s">
        <v>467</v>
      </c>
      <c r="F105" s="339"/>
      <c r="G105" s="154">
        <f>+'[2]OKT WS D Working Capital'!G29</f>
        <v>15750</v>
      </c>
      <c r="H105" s="143"/>
      <c r="I105" s="175" t="s">
        <v>269</v>
      </c>
      <c r="J105" s="214">
        <f t="shared" si="8"/>
        <v>1</v>
      </c>
      <c r="K105" s="131"/>
      <c r="L105" s="154">
        <f>+G105</f>
        <v>15750</v>
      </c>
      <c r="M105" s="108"/>
      <c r="N105" s="209">
        <v>0</v>
      </c>
      <c r="O105" s="151"/>
      <c r="P105" s="209">
        <f t="shared" si="5"/>
        <v>-15750</v>
      </c>
    </row>
    <row r="106" spans="1:16" ht="15.75" thickBot="1">
      <c r="B106" s="332">
        <f t="shared" si="7"/>
        <v>60</v>
      </c>
      <c r="C106" s="338"/>
      <c r="D106" s="205" t="s">
        <v>466</v>
      </c>
      <c r="E106" s="131" t="s">
        <v>465</v>
      </c>
      <c r="F106" s="339"/>
      <c r="G106" s="163">
        <f>+'[2]OKT WS D Working Capital'!E29</f>
        <v>0</v>
      </c>
      <c r="H106" s="154"/>
      <c r="I106" s="175" t="s">
        <v>266</v>
      </c>
      <c r="J106" s="214">
        <f t="shared" si="8"/>
        <v>0</v>
      </c>
      <c r="K106" s="131"/>
      <c r="L106" s="163">
        <f>+G106*J106</f>
        <v>0</v>
      </c>
      <c r="M106" s="108"/>
      <c r="N106" s="211">
        <v>0</v>
      </c>
      <c r="O106" s="151"/>
      <c r="P106" s="211">
        <f t="shared" si="5"/>
        <v>0</v>
      </c>
    </row>
    <row r="107" spans="1:16">
      <c r="B107" s="332">
        <f t="shared" si="7"/>
        <v>61</v>
      </c>
      <c r="C107" s="338"/>
      <c r="D107" s="205" t="s">
        <v>464</v>
      </c>
      <c r="E107" s="205" t="str">
        <f>"(sum lns "&amp;B99&amp;" to "&amp;B106&amp;")"</f>
        <v>(sum lns 53 to 60)</v>
      </c>
      <c r="F107" s="125"/>
      <c r="G107" s="154">
        <f>SUM(G99:G106)</f>
        <v>88532.98</v>
      </c>
      <c r="H107" s="125"/>
      <c r="I107" s="114"/>
      <c r="J107" s="125"/>
      <c r="K107" s="125"/>
      <c r="L107" s="154">
        <f>SUM(L99:L106)</f>
        <v>86458.788716870185</v>
      </c>
      <c r="M107" s="108"/>
      <c r="N107" s="209">
        <v>72782.98</v>
      </c>
      <c r="O107" s="151"/>
      <c r="P107" s="209">
        <f t="shared" si="5"/>
        <v>-13675.80871687019</v>
      </c>
    </row>
    <row r="108" spans="1:16">
      <c r="B108" s="134"/>
      <c r="C108" s="133"/>
      <c r="D108" s="205"/>
      <c r="E108" s="138"/>
      <c r="F108" s="138"/>
      <c r="G108" s="210"/>
      <c r="H108" s="138"/>
      <c r="I108" s="133"/>
      <c r="J108" s="138"/>
      <c r="K108" s="138"/>
      <c r="L108" s="210"/>
      <c r="M108" s="108"/>
      <c r="N108" s="209"/>
      <c r="O108" s="151"/>
      <c r="P108" s="209" t="str">
        <f t="shared" si="5"/>
        <v/>
      </c>
    </row>
    <row r="109" spans="1:16">
      <c r="B109" s="134">
        <f>+B107+1</f>
        <v>62</v>
      </c>
      <c r="C109" s="133"/>
      <c r="D109" s="155" t="s">
        <v>463</v>
      </c>
      <c r="E109" s="135" t="str">
        <f>"(Note H) (Worksheet E, ln "&amp;'[2]OKT WS E IPP Credits'!A21&amp;".(B))"</f>
        <v>(Note H) (Worksheet E, ln 8.(B))</v>
      </c>
      <c r="F109" s="138"/>
      <c r="G109" s="154">
        <f>IF(G63=0,0,-'[2]OKT WS E IPP Credits'!C21)</f>
        <v>0</v>
      </c>
      <c r="H109" s="138"/>
      <c r="I109" s="258" t="s">
        <v>269</v>
      </c>
      <c r="J109" s="214">
        <f>VLOOKUP(I109,PSO_TU_Allocators,2,FALSE)</f>
        <v>1</v>
      </c>
      <c r="K109" s="139"/>
      <c r="L109" s="210">
        <f>+J109*G109</f>
        <v>0</v>
      </c>
      <c r="M109" s="108"/>
      <c r="N109" s="209">
        <v>0</v>
      </c>
      <c r="O109" s="151"/>
      <c r="P109" s="209">
        <f t="shared" si="5"/>
        <v>0</v>
      </c>
    </row>
    <row r="110" spans="1:16" ht="15.75" thickBot="1">
      <c r="B110" s="336"/>
      <c r="C110" s="192"/>
      <c r="D110" s="276"/>
      <c r="E110" s="139"/>
      <c r="F110" s="139"/>
      <c r="G110" s="212"/>
      <c r="H110" s="139"/>
      <c r="I110" s="204"/>
      <c r="J110" s="139"/>
      <c r="K110" s="139"/>
      <c r="L110" s="212"/>
      <c r="M110" s="108"/>
      <c r="N110" s="211"/>
      <c r="O110" s="151"/>
      <c r="P110" s="211" t="str">
        <f t="shared" si="5"/>
        <v/>
      </c>
    </row>
    <row r="111" spans="1:16" ht="15.75" thickBot="1">
      <c r="B111" s="134">
        <f>+B109+1</f>
        <v>63</v>
      </c>
      <c r="C111" s="133"/>
      <c r="D111" s="135" t="str">
        <f>"RATE BASE  (sum lns "&amp;B83&amp;", "&amp;B92&amp;", "&amp;B94&amp;", "&amp;B107&amp;", "&amp;B109&amp;")"</f>
        <v>RATE BASE  (sum lns 43, 50, 51, 61, 62)</v>
      </c>
      <c r="E111" s="139"/>
      <c r="F111" s="139"/>
      <c r="G111" s="254">
        <f>+G107+G94+G92+G83+G109</f>
        <v>127849223.13</v>
      </c>
      <c r="H111" s="139"/>
      <c r="I111" s="139"/>
      <c r="J111" s="267"/>
      <c r="K111" s="139"/>
      <c r="L111" s="254">
        <f>+L107+L94+L92+L83+L109</f>
        <v>121208562.30098607</v>
      </c>
      <c r="M111" s="108"/>
      <c r="N111" s="253">
        <v>124755982.56999999</v>
      </c>
      <c r="O111" s="151"/>
      <c r="P111" s="253">
        <f t="shared" si="5"/>
        <v>3547420.2690139264</v>
      </c>
    </row>
    <row r="112" spans="1:16" ht="16.5" thickTop="1">
      <c r="B112" s="134"/>
      <c r="C112" s="108"/>
      <c r="D112" s="108"/>
      <c r="E112" s="337"/>
      <c r="F112" s="108"/>
      <c r="G112" s="108"/>
      <c r="H112" s="108"/>
      <c r="I112" s="249"/>
      <c r="J112" s="249"/>
      <c r="K112" s="249"/>
      <c r="L112" s="120"/>
      <c r="M112" s="108"/>
      <c r="N112" s="242"/>
      <c r="O112" s="151"/>
      <c r="P112" s="242" t="str">
        <f t="shared" si="5"/>
        <v/>
      </c>
    </row>
    <row r="113" spans="1:16">
      <c r="B113" s="134"/>
      <c r="C113" s="133"/>
      <c r="D113" s="135"/>
      <c r="E113" s="139"/>
      <c r="F113" s="139"/>
      <c r="G113" s="139"/>
      <c r="H113" s="139"/>
      <c r="I113" s="139"/>
      <c r="J113" s="139"/>
      <c r="K113" s="139"/>
      <c r="L113" s="139"/>
      <c r="M113" s="108"/>
      <c r="N113" s="174"/>
      <c r="O113" s="151"/>
      <c r="P113" s="174" t="str">
        <f t="shared" si="5"/>
        <v/>
      </c>
    </row>
    <row r="114" spans="1:16">
      <c r="B114" s="134"/>
      <c r="C114" s="133"/>
      <c r="D114" s="135"/>
      <c r="E114" s="139"/>
      <c r="F114" s="204" t="str">
        <f>F42</f>
        <v xml:space="preserve">AEP West SPP Member Companies </v>
      </c>
      <c r="G114" s="204"/>
      <c r="H114" s="139"/>
      <c r="I114" s="139"/>
      <c r="J114" s="139"/>
      <c r="K114" s="139"/>
      <c r="L114" s="139"/>
      <c r="M114" s="108"/>
      <c r="N114" s="174"/>
      <c r="O114" s="151"/>
      <c r="P114" s="174" t="str">
        <f t="shared" si="5"/>
        <v/>
      </c>
    </row>
    <row r="115" spans="1:16">
      <c r="B115" s="134"/>
      <c r="C115" s="133"/>
      <c r="D115" s="135"/>
      <c r="E115" s="139"/>
      <c r="F115" s="204" t="str">
        <f>F43</f>
        <v>Transmission Cost of Service Formula Rate</v>
      </c>
      <c r="G115" s="204"/>
      <c r="H115" s="139"/>
      <c r="I115" s="139"/>
      <c r="J115" s="139"/>
      <c r="K115" s="139"/>
      <c r="L115" s="139"/>
      <c r="M115" s="108"/>
      <c r="N115" s="174"/>
      <c r="O115" s="151"/>
      <c r="P115" s="174" t="str">
        <f t="shared" si="5"/>
        <v/>
      </c>
    </row>
    <row r="116" spans="1:16">
      <c r="B116" s="134"/>
      <c r="C116" s="133"/>
      <c r="D116" s="192"/>
      <c r="E116" s="139"/>
      <c r="F116" s="204" t="str">
        <f>F44</f>
        <v>Utilizing Actual Cost Data for 2013 with Average Ratebase Balances</v>
      </c>
      <c r="G116" s="139"/>
      <c r="H116" s="139"/>
      <c r="I116" s="139"/>
      <c r="J116" s="139"/>
      <c r="K116" s="139"/>
      <c r="L116" s="139"/>
      <c r="M116" s="108"/>
      <c r="N116" s="174"/>
      <c r="O116" s="151"/>
      <c r="P116" s="174" t="str">
        <f t="shared" ref="P116:P121" si="9">IF(N116="","",N116-L116)</f>
        <v/>
      </c>
    </row>
    <row r="117" spans="1:16">
      <c r="B117" s="134"/>
      <c r="C117" s="133"/>
      <c r="D117" s="192"/>
      <c r="E117" s="139"/>
      <c r="F117" s="204"/>
      <c r="G117" s="139"/>
      <c r="H117" s="139"/>
      <c r="I117" s="139"/>
      <c r="J117" s="139"/>
      <c r="K117" s="139"/>
      <c r="L117" s="139"/>
      <c r="M117" s="108"/>
      <c r="N117" s="174"/>
      <c r="O117" s="151"/>
      <c r="P117" s="174" t="str">
        <f t="shared" si="9"/>
        <v/>
      </c>
    </row>
    <row r="118" spans="1:16">
      <c r="B118" s="134"/>
      <c r="C118" s="133"/>
      <c r="D118" s="192"/>
      <c r="E118" s="140"/>
      <c r="F118" s="204" t="str">
        <f>F46</f>
        <v>AEP OKLAHOMA TRANSMISSION COMPANY, INC</v>
      </c>
      <c r="G118" s="140"/>
      <c r="H118" s="122"/>
      <c r="I118" s="140"/>
      <c r="J118" s="140"/>
      <c r="K118" s="140"/>
      <c r="L118" s="192"/>
      <c r="M118" s="108"/>
      <c r="N118" s="242"/>
      <c r="O118" s="151"/>
      <c r="P118" s="242" t="str">
        <f t="shared" si="9"/>
        <v/>
      </c>
    </row>
    <row r="119" spans="1:16">
      <c r="B119" s="134"/>
      <c r="C119" s="133"/>
      <c r="D119" s="192"/>
      <c r="E119" s="140"/>
      <c r="F119" s="204"/>
      <c r="G119" s="140"/>
      <c r="H119" s="122"/>
      <c r="I119" s="140"/>
      <c r="J119" s="140"/>
      <c r="K119" s="140"/>
      <c r="L119" s="192"/>
      <c r="M119" s="108"/>
      <c r="N119" s="242"/>
      <c r="O119" s="151"/>
      <c r="P119" s="242" t="str">
        <f t="shared" si="9"/>
        <v/>
      </c>
    </row>
    <row r="120" spans="1:16">
      <c r="B120" s="336"/>
      <c r="C120" s="192"/>
      <c r="D120" s="133" t="s">
        <v>462</v>
      </c>
      <c r="E120" s="133" t="s">
        <v>461</v>
      </c>
      <c r="F120" s="133"/>
      <c r="G120" s="133" t="s">
        <v>460</v>
      </c>
      <c r="H120" s="131"/>
      <c r="I120" s="481" t="s">
        <v>459</v>
      </c>
      <c r="J120" s="482"/>
      <c r="K120" s="139"/>
      <c r="L120" s="335" t="s">
        <v>458</v>
      </c>
      <c r="M120" s="108"/>
      <c r="N120" s="334" t="s">
        <v>458</v>
      </c>
      <c r="O120" s="151"/>
      <c r="P120" s="334">
        <f t="shared" si="9"/>
        <v>0</v>
      </c>
    </row>
    <row r="121" spans="1:16" ht="15.75">
      <c r="B121" s="104"/>
      <c r="C121" s="192"/>
      <c r="D121" s="133"/>
      <c r="E121" s="133"/>
      <c r="F121" s="133"/>
      <c r="G121" s="133"/>
      <c r="H121" s="131"/>
      <c r="I121" s="139"/>
      <c r="J121" s="333"/>
      <c r="K121" s="139"/>
      <c r="L121" s="192"/>
      <c r="M121" s="108"/>
      <c r="N121" s="242"/>
      <c r="O121" s="327"/>
      <c r="P121" s="242" t="str">
        <f t="shared" si="9"/>
        <v/>
      </c>
    </row>
    <row r="122" spans="1:16" ht="15.75">
      <c r="B122" s="332"/>
      <c r="C122" s="133"/>
      <c r="D122" s="141" t="s">
        <v>457</v>
      </c>
      <c r="E122" s="330" t="str">
        <f>E50</f>
        <v>Data Sources</v>
      </c>
      <c r="F122" s="331"/>
      <c r="G122" s="139"/>
      <c r="H122" s="131"/>
      <c r="I122" s="139"/>
      <c r="J122" s="133"/>
      <c r="K122" s="139"/>
      <c r="L122" s="330" t="str">
        <f>L50</f>
        <v>Total</v>
      </c>
      <c r="M122" s="108"/>
      <c r="N122" s="329" t="s">
        <v>372</v>
      </c>
      <c r="O122" s="327"/>
      <c r="P122" s="329" t="s">
        <v>372</v>
      </c>
    </row>
    <row r="123" spans="1:16" ht="15.75">
      <c r="B123" s="104"/>
      <c r="C123" s="132"/>
      <c r="D123" s="322" t="s">
        <v>456</v>
      </c>
      <c r="E123" s="328" t="str">
        <f>E51</f>
        <v>(See "General Notes")</v>
      </c>
      <c r="F123" s="139"/>
      <c r="G123" s="328" t="str">
        <f>G51</f>
        <v>TO Total</v>
      </c>
      <c r="H123" s="196"/>
      <c r="I123" s="471" t="str">
        <f>I51</f>
        <v>Allocator</v>
      </c>
      <c r="J123" s="472"/>
      <c r="K123" s="191"/>
      <c r="L123" s="328" t="str">
        <f>L51</f>
        <v>Transmission</v>
      </c>
      <c r="M123" s="108"/>
      <c r="N123" s="326" t="s">
        <v>455</v>
      </c>
      <c r="O123" s="327"/>
      <c r="P123" s="326" t="s">
        <v>455</v>
      </c>
    </row>
    <row r="124" spans="1:16" ht="15.75">
      <c r="B124" s="325" t="str">
        <f>B52</f>
        <v>Line</v>
      </c>
      <c r="C124" s="192"/>
      <c r="D124" s="135"/>
      <c r="E124" s="139"/>
      <c r="F124" s="139"/>
      <c r="G124" s="322"/>
      <c r="H124" s="324"/>
      <c r="I124" s="141"/>
      <c r="J124" s="192"/>
      <c r="K124" s="323"/>
      <c r="L124" s="322"/>
      <c r="M124" s="108"/>
      <c r="N124" s="321"/>
      <c r="O124" s="151"/>
      <c r="P124" s="321" t="str">
        <f t="shared" ref="P124:P155" si="10">IF(N124="","",N124-L124)</f>
        <v/>
      </c>
    </row>
    <row r="125" spans="1:16" ht="15.75" thickBot="1">
      <c r="B125" s="243" t="str">
        <f>B53</f>
        <v>No.</v>
      </c>
      <c r="C125" s="133"/>
      <c r="D125" s="135" t="s">
        <v>454</v>
      </c>
      <c r="E125" s="139"/>
      <c r="F125" s="139"/>
      <c r="G125" s="139"/>
      <c r="H125" s="131"/>
      <c r="I125" s="204"/>
      <c r="J125" s="139"/>
      <c r="K125" s="139"/>
      <c r="L125" s="139"/>
      <c r="M125" s="108"/>
      <c r="N125" s="174"/>
      <c r="O125" s="151"/>
      <c r="P125" s="174" t="str">
        <f t="shared" si="10"/>
        <v/>
      </c>
    </row>
    <row r="126" spans="1:16">
      <c r="B126" s="319">
        <f>+B111+1</f>
        <v>64</v>
      </c>
      <c r="C126" s="133"/>
      <c r="D126" s="119" t="s">
        <v>453</v>
      </c>
      <c r="E126" s="139" t="s">
        <v>452</v>
      </c>
      <c r="F126" s="131"/>
      <c r="G126" s="237">
        <f>+'[2]OKT Historic TCOS'!G136</f>
        <v>520866</v>
      </c>
      <c r="H126" s="154"/>
      <c r="I126" s="108"/>
      <c r="J126" s="108"/>
      <c r="K126" s="108"/>
      <c r="L126" s="108"/>
      <c r="M126" s="108"/>
      <c r="N126" s="317"/>
      <c r="O126" s="269"/>
      <c r="P126" s="317" t="str">
        <f t="shared" si="10"/>
        <v/>
      </c>
    </row>
    <row r="127" spans="1:16">
      <c r="A127" s="108"/>
      <c r="B127" s="319">
        <f>+B126+1</f>
        <v>65</v>
      </c>
      <c r="C127" s="133"/>
      <c r="D127" s="119" t="s">
        <v>451</v>
      </c>
      <c r="E127" s="131" t="s">
        <v>435</v>
      </c>
      <c r="F127" s="131"/>
      <c r="G127" s="237">
        <f>+'[2]OKT Historic TCOS'!G137</f>
        <v>11519</v>
      </c>
      <c r="H127" s="154"/>
      <c r="I127" s="108"/>
      <c r="J127" s="108"/>
      <c r="K127" s="108"/>
      <c r="L127" s="108"/>
      <c r="M127" s="108"/>
      <c r="N127" s="317"/>
      <c r="O127" s="269"/>
      <c r="P127" s="317" t="str">
        <f t="shared" si="10"/>
        <v/>
      </c>
    </row>
    <row r="128" spans="1:16">
      <c r="A128" s="108"/>
      <c r="B128" s="319">
        <f>+B127+1</f>
        <v>66</v>
      </c>
      <c r="C128" s="133"/>
      <c r="D128" s="119" t="s">
        <v>450</v>
      </c>
      <c r="E128" s="131" t="s">
        <v>433</v>
      </c>
      <c r="F128" s="131"/>
      <c r="G128" s="237">
        <f>+'[2]OKT Historic TCOS'!G138</f>
        <v>179704</v>
      </c>
      <c r="H128" s="154"/>
      <c r="I128" s="108"/>
      <c r="J128" s="108"/>
      <c r="K128" s="108"/>
      <c r="L128" s="108"/>
      <c r="M128" s="108"/>
      <c r="N128" s="317"/>
      <c r="O128" s="269"/>
      <c r="P128" s="317" t="str">
        <f t="shared" si="10"/>
        <v/>
      </c>
    </row>
    <row r="129" spans="1:16" ht="15.75" thickBot="1">
      <c r="A129" s="108"/>
      <c r="B129" s="319">
        <f>+B128+1</f>
        <v>67</v>
      </c>
      <c r="C129" s="133"/>
      <c r="D129" s="119" t="str">
        <f>"Less: expenses 100% assigned to TO billed customers (Worksheet I, ln "&amp;'[2]OKT WS I Exp Adj'!B21&amp;")"</f>
        <v>Less: expenses 100% assigned to TO billed customers (Worksheet I, ln 14)</v>
      </c>
      <c r="E129" s="131"/>
      <c r="F129" s="131"/>
      <c r="G129" s="320">
        <f>+'[2]OKT WS I Exp Adj'!G21</f>
        <v>0</v>
      </c>
      <c r="H129" s="154"/>
      <c r="I129" s="108"/>
      <c r="J129" s="108"/>
      <c r="K129" s="108"/>
      <c r="L129" s="108"/>
      <c r="M129" s="108"/>
      <c r="N129" s="317"/>
      <c r="O129" s="269"/>
      <c r="P129" s="317" t="str">
        <f t="shared" si="10"/>
        <v/>
      </c>
    </row>
    <row r="130" spans="1:16">
      <c r="A130" s="108"/>
      <c r="B130" s="319">
        <f>+B129+1</f>
        <v>68</v>
      </c>
      <c r="C130" s="133"/>
      <c r="D130" s="119" t="s">
        <v>449</v>
      </c>
      <c r="E130" s="139" t="str">
        <f>"(lns "&amp;B126&amp;" - "&amp;B127&amp;" - "&amp;B128&amp;" - "&amp;B129&amp;")"</f>
        <v>(lns 64 - 65 - 66 - 67)</v>
      </c>
      <c r="F130" s="119"/>
      <c r="G130" s="154">
        <f>+G126-G127-G128-G129</f>
        <v>329643</v>
      </c>
      <c r="H130" s="131"/>
      <c r="I130" s="204" t="s">
        <v>264</v>
      </c>
      <c r="J130" s="214">
        <f>VLOOKUP(I130,PSO_TU_Allocators,2,FALSE)</f>
        <v>0.9715016988431936</v>
      </c>
      <c r="K130" s="131"/>
      <c r="L130" s="154">
        <f>+J130*G130</f>
        <v>320248.73451176687</v>
      </c>
      <c r="M130" s="108"/>
      <c r="N130" s="209">
        <v>329643</v>
      </c>
      <c r="O130" s="269"/>
      <c r="P130" s="209">
        <f t="shared" si="10"/>
        <v>9394.2654882331262</v>
      </c>
    </row>
    <row r="131" spans="1:16">
      <c r="A131" s="108"/>
      <c r="B131" s="134"/>
      <c r="C131" s="133"/>
      <c r="D131" s="119"/>
      <c r="E131" s="131"/>
      <c r="F131" s="131"/>
      <c r="G131" s="318"/>
      <c r="H131" s="154"/>
      <c r="I131" s="108"/>
      <c r="J131" s="108"/>
      <c r="K131" s="108"/>
      <c r="L131" s="108"/>
      <c r="M131" s="108"/>
      <c r="N131" s="317"/>
      <c r="O131" s="269"/>
      <c r="P131" s="317" t="str">
        <f t="shared" si="10"/>
        <v/>
      </c>
    </row>
    <row r="132" spans="1:16">
      <c r="A132" s="108"/>
      <c r="B132" s="134">
        <f>+B130+1</f>
        <v>69</v>
      </c>
      <c r="C132" s="133"/>
      <c r="D132" s="135" t="s">
        <v>448</v>
      </c>
      <c r="E132" s="139" t="s">
        <v>447</v>
      </c>
      <c r="F132" s="139"/>
      <c r="G132" s="154">
        <f>+'[2]OKT Historic TCOS'!G142</f>
        <v>734270</v>
      </c>
      <c r="H132" s="154"/>
      <c r="I132" s="287"/>
      <c r="J132" s="287"/>
      <c r="K132" s="139"/>
      <c r="L132" s="210"/>
      <c r="M132" s="108"/>
      <c r="N132" s="209"/>
      <c r="O132" s="269"/>
      <c r="P132" s="209" t="str">
        <f t="shared" si="10"/>
        <v/>
      </c>
    </row>
    <row r="133" spans="1:16">
      <c r="A133" s="108"/>
      <c r="B133" s="134">
        <f t="shared" ref="B133:B141" si="11">+B132+1</f>
        <v>70</v>
      </c>
      <c r="C133" s="133"/>
      <c r="D133" s="119" t="s">
        <v>446</v>
      </c>
      <c r="E133" s="139" t="s">
        <v>445</v>
      </c>
      <c r="F133" s="139"/>
      <c r="G133" s="154">
        <f>+'[2]OKT Historic TCOS'!G143</f>
        <v>63189.39</v>
      </c>
      <c r="H133" s="154"/>
      <c r="I133" s="287"/>
      <c r="J133" s="135"/>
      <c r="K133" s="139"/>
      <c r="L133" s="210"/>
      <c r="M133" s="108"/>
      <c r="N133" s="209"/>
      <c r="O133" s="269"/>
      <c r="P133" s="209" t="str">
        <f t="shared" si="10"/>
        <v/>
      </c>
    </row>
    <row r="134" spans="1:16">
      <c r="B134" s="134">
        <f t="shared" si="11"/>
        <v>71</v>
      </c>
      <c r="C134" s="133"/>
      <c r="D134" s="135" t="s">
        <v>444</v>
      </c>
      <c r="E134" s="139" t="s">
        <v>443</v>
      </c>
      <c r="F134" s="131"/>
      <c r="G134" s="154">
        <f>+'[2]OKT Historic TCOS'!G144</f>
        <v>0</v>
      </c>
      <c r="H134" s="154"/>
      <c r="I134" s="287"/>
      <c r="J134" s="316"/>
      <c r="K134" s="139"/>
      <c r="L134" s="210"/>
      <c r="M134" s="108"/>
      <c r="N134" s="209"/>
      <c r="O134" s="269"/>
      <c r="P134" s="209" t="str">
        <f t="shared" si="10"/>
        <v/>
      </c>
    </row>
    <row r="135" spans="1:16">
      <c r="B135" s="134">
        <f t="shared" si="11"/>
        <v>72</v>
      </c>
      <c r="C135" s="133"/>
      <c r="D135" s="119" t="s">
        <v>442</v>
      </c>
      <c r="E135" s="139" t="s">
        <v>441</v>
      </c>
      <c r="F135" s="131"/>
      <c r="G135" s="154">
        <f>+'[2]OKT Historic TCOS'!G145</f>
        <v>0</v>
      </c>
      <c r="H135" s="154"/>
      <c r="I135" s="287"/>
      <c r="J135" s="287"/>
      <c r="K135" s="139"/>
      <c r="L135" s="210"/>
      <c r="M135" s="108"/>
      <c r="N135" s="209"/>
      <c r="O135" s="269"/>
      <c r="P135" s="209" t="str">
        <f t="shared" si="10"/>
        <v/>
      </c>
    </row>
    <row r="136" spans="1:16" ht="15.75" thickBot="1">
      <c r="B136" s="134">
        <f t="shared" si="11"/>
        <v>73</v>
      </c>
      <c r="C136" s="133"/>
      <c r="D136" s="119" t="s">
        <v>440</v>
      </c>
      <c r="E136" s="139" t="s">
        <v>439</v>
      </c>
      <c r="F136" s="131"/>
      <c r="G136" s="163">
        <f>+'[2]OKT Historic TCOS'!G146</f>
        <v>15428.550000000001</v>
      </c>
      <c r="H136" s="154"/>
      <c r="I136" s="287"/>
      <c r="J136" s="287"/>
      <c r="K136" s="139"/>
      <c r="L136" s="210"/>
      <c r="M136" s="108"/>
      <c r="N136" s="209"/>
      <c r="O136" s="269"/>
      <c r="P136" s="209" t="str">
        <f t="shared" si="10"/>
        <v/>
      </c>
    </row>
    <row r="137" spans="1:16">
      <c r="B137" s="134">
        <f t="shared" si="11"/>
        <v>74</v>
      </c>
      <c r="C137" s="133"/>
      <c r="D137" s="135" t="s">
        <v>438</v>
      </c>
      <c r="E137" s="131" t="str">
        <f>"(ln "&amp;B132&amp;" - sum ln "&amp;B133&amp;"  to ln "&amp;B136&amp;")"</f>
        <v>(ln 69 - sum ln 70  to ln 73)</v>
      </c>
      <c r="F137" s="131"/>
      <c r="G137" s="154">
        <f>G132-SUM(G133:G136)</f>
        <v>655652.06000000006</v>
      </c>
      <c r="H137" s="154"/>
      <c r="I137" s="204" t="s">
        <v>262</v>
      </c>
      <c r="J137" s="214">
        <f t="shared" ref="J137:J142" si="12">VLOOKUP(I137,PSO_TU_Allocators,2,FALSE)</f>
        <v>0.9715016988431936</v>
      </c>
      <c r="K137" s="139"/>
      <c r="L137" s="210">
        <f>+J137*G137</f>
        <v>636967.09014003957</v>
      </c>
      <c r="M137" s="108"/>
      <c r="N137" s="209">
        <v>655652.06000000006</v>
      </c>
      <c r="O137" s="269"/>
      <c r="P137" s="209">
        <f t="shared" si="10"/>
        <v>18684.969859960489</v>
      </c>
    </row>
    <row r="138" spans="1:16">
      <c r="B138" s="115">
        <f t="shared" si="11"/>
        <v>75</v>
      </c>
      <c r="C138" s="114"/>
      <c r="D138" s="119" t="s">
        <v>437</v>
      </c>
      <c r="E138" s="131" t="str">
        <f>"(ln "&amp;B133&amp;")"</f>
        <v>(ln 70)</v>
      </c>
      <c r="F138" s="131"/>
      <c r="G138" s="154">
        <f>+G133</f>
        <v>63189.39</v>
      </c>
      <c r="H138" s="154"/>
      <c r="I138" s="315" t="s">
        <v>268</v>
      </c>
      <c r="J138" s="214">
        <f t="shared" si="12"/>
        <v>0.9715016988431936</v>
      </c>
      <c r="K138" s="131"/>
      <c r="L138" s="154">
        <f>+J138*G138</f>
        <v>61388.599733865107</v>
      </c>
      <c r="M138" s="108"/>
      <c r="N138" s="209">
        <v>63189.39</v>
      </c>
      <c r="O138" s="269"/>
      <c r="P138" s="209">
        <f t="shared" si="10"/>
        <v>1800.7902661348926</v>
      </c>
    </row>
    <row r="139" spans="1:16">
      <c r="B139" s="134">
        <f t="shared" si="11"/>
        <v>76</v>
      </c>
      <c r="C139" s="133"/>
      <c r="D139" s="119" t="s">
        <v>436</v>
      </c>
      <c r="E139" s="131" t="s">
        <v>435</v>
      </c>
      <c r="F139" s="131"/>
      <c r="G139" s="154">
        <f>+'[2]OKT WS J Misc Exp'!F23</f>
        <v>0</v>
      </c>
      <c r="H139" s="154"/>
      <c r="I139" s="204" t="s">
        <v>264</v>
      </c>
      <c r="J139" s="214">
        <f t="shared" si="12"/>
        <v>0.9715016988431936</v>
      </c>
      <c r="K139" s="139"/>
      <c r="L139" s="210">
        <f>J139*G139</f>
        <v>0</v>
      </c>
      <c r="M139" s="108"/>
      <c r="N139" s="209">
        <v>0</v>
      </c>
      <c r="O139" s="269"/>
      <c r="P139" s="209">
        <f t="shared" si="10"/>
        <v>0</v>
      </c>
    </row>
    <row r="140" spans="1:16">
      <c r="B140" s="134">
        <f t="shared" si="11"/>
        <v>77</v>
      </c>
      <c r="C140" s="133"/>
      <c r="D140" s="119" t="s">
        <v>434</v>
      </c>
      <c r="E140" s="131" t="s">
        <v>433</v>
      </c>
      <c r="F140" s="131"/>
      <c r="G140" s="237">
        <f>'[2]OKT WS J Misc Exp'!F43</f>
        <v>0</v>
      </c>
      <c r="H140" s="131"/>
      <c r="I140" s="175" t="s">
        <v>268</v>
      </c>
      <c r="J140" s="214">
        <f t="shared" si="12"/>
        <v>0.9715016988431936</v>
      </c>
      <c r="K140" s="139"/>
      <c r="L140" s="252">
        <f>+J140*G140</f>
        <v>0</v>
      </c>
      <c r="M140" s="108"/>
      <c r="N140" s="236">
        <v>0</v>
      </c>
      <c r="O140" s="269"/>
      <c r="P140" s="236">
        <f t="shared" si="10"/>
        <v>0</v>
      </c>
    </row>
    <row r="141" spans="1:16">
      <c r="B141" s="134">
        <f t="shared" si="11"/>
        <v>78</v>
      </c>
      <c r="C141" s="133"/>
      <c r="D141" s="119" t="s">
        <v>432</v>
      </c>
      <c r="E141" s="131" t="str">
        <f>"Worksheet J ln "&amp;'[2]OKT WS J Misc Exp'!A52&amp;".(E) (Note L)"</f>
        <v>Worksheet J ln 32.(E) (Note L)</v>
      </c>
      <c r="F141" s="131"/>
      <c r="G141" s="237">
        <f>'[2]OKT WS J Misc Exp'!F52</f>
        <v>0</v>
      </c>
      <c r="H141" s="131"/>
      <c r="I141" s="175" t="s">
        <v>269</v>
      </c>
      <c r="J141" s="214">
        <f t="shared" si="12"/>
        <v>1</v>
      </c>
      <c r="K141" s="139"/>
      <c r="L141" s="210">
        <f>J141*G141</f>
        <v>0</v>
      </c>
      <c r="M141" s="108"/>
      <c r="N141" s="209">
        <v>0</v>
      </c>
      <c r="O141" s="269"/>
      <c r="P141" s="209">
        <f t="shared" si="10"/>
        <v>0</v>
      </c>
    </row>
    <row r="142" spans="1:16" s="105" customFormat="1">
      <c r="B142" s="115" t="s">
        <v>431</v>
      </c>
      <c r="C142" s="114"/>
      <c r="D142" s="314" t="s">
        <v>430</v>
      </c>
      <c r="E142" s="131" t="str">
        <f>"Worksheet O ln "&amp;'[2]OKT WS O  PBOP'!A30&amp;".B"</f>
        <v>Worksheet O ln 16.B</v>
      </c>
      <c r="F142" s="131"/>
      <c r="G142" s="237">
        <f>'[2]OKT WS O  PBOP'!D30</f>
        <v>41990.330259072827</v>
      </c>
      <c r="H142" s="131"/>
      <c r="I142" s="175" t="s">
        <v>269</v>
      </c>
      <c r="J142" s="214">
        <f t="shared" si="12"/>
        <v>1</v>
      </c>
      <c r="K142" s="131"/>
      <c r="L142" s="154">
        <f>G142</f>
        <v>41990.330259072827</v>
      </c>
      <c r="M142" s="304"/>
      <c r="N142" s="209">
        <v>41990.330259072827</v>
      </c>
      <c r="O142" s="269"/>
      <c r="P142" s="209">
        <f t="shared" si="10"/>
        <v>0</v>
      </c>
    </row>
    <row r="143" spans="1:16" s="105" customFormat="1" ht="15.75" thickBot="1">
      <c r="B143" s="115">
        <f>+B141+1</f>
        <v>79</v>
      </c>
      <c r="C143" s="114"/>
      <c r="D143" s="119" t="s">
        <v>429</v>
      </c>
      <c r="E143" s="131" t="str">
        <f>"(sum lns "&amp;B137&amp;"  to "&amp;B141&amp;" less ln "&amp;B142&amp;")"</f>
        <v>(sum lns 74  to 78 less ln 78a)</v>
      </c>
      <c r="F143" s="131"/>
      <c r="G143" s="163">
        <f>SUM(G137:G142)</f>
        <v>760831.7802590729</v>
      </c>
      <c r="H143" s="154"/>
      <c r="I143" s="175"/>
      <c r="J143" s="313"/>
      <c r="K143" s="131"/>
      <c r="L143" s="163">
        <f>SUM(L137:L142)</f>
        <v>740346.02013297752</v>
      </c>
      <c r="M143" s="304"/>
      <c r="N143" s="211">
        <v>760831.7802590729</v>
      </c>
      <c r="O143" s="269"/>
      <c r="P143" s="211">
        <f t="shared" si="10"/>
        <v>20485.760126095382</v>
      </c>
    </row>
    <row r="144" spans="1:16" s="105" customFormat="1">
      <c r="B144" s="115">
        <f>+B143+1</f>
        <v>80</v>
      </c>
      <c r="C144" s="114"/>
      <c r="D144" s="119" t="s">
        <v>428</v>
      </c>
      <c r="E144" s="131" t="str">
        <f>"(ln "&amp;B130&amp;" + ln "&amp;B143&amp;")"</f>
        <v>(ln 68 + ln 79)</v>
      </c>
      <c r="F144" s="131"/>
      <c r="G144" s="237">
        <f>G130+G143</f>
        <v>1090474.7802590728</v>
      </c>
      <c r="H144" s="154"/>
      <c r="I144" s="175"/>
      <c r="J144" s="126"/>
      <c r="K144" s="131"/>
      <c r="L144" s="154">
        <f>+L143+L130</f>
        <v>1060594.7546447443</v>
      </c>
      <c r="M144" s="304"/>
      <c r="N144" s="209">
        <v>1090474.7802590728</v>
      </c>
      <c r="O144" s="269"/>
      <c r="P144" s="209">
        <f t="shared" si="10"/>
        <v>29880.02561432845</v>
      </c>
    </row>
    <row r="145" spans="1:16" s="105" customFormat="1">
      <c r="B145" s="115"/>
      <c r="C145" s="114"/>
      <c r="D145" s="119"/>
      <c r="E145" s="131"/>
      <c r="F145" s="131"/>
      <c r="G145" s="237"/>
      <c r="H145" s="233"/>
      <c r="I145" s="234"/>
      <c r="J145" s="312"/>
      <c r="K145" s="233"/>
      <c r="L145" s="237"/>
      <c r="M145" s="304"/>
      <c r="N145" s="236"/>
      <c r="O145" s="269"/>
      <c r="P145" s="236" t="str">
        <f t="shared" si="10"/>
        <v/>
      </c>
    </row>
    <row r="146" spans="1:16" s="105" customFormat="1">
      <c r="B146" s="115">
        <f>+B144+1</f>
        <v>81</v>
      </c>
      <c r="C146" s="114"/>
      <c r="D146" s="155" t="s">
        <v>427</v>
      </c>
      <c r="E146" s="175"/>
      <c r="F146" s="175"/>
      <c r="G146" s="237"/>
      <c r="H146" s="233"/>
      <c r="I146" s="234"/>
      <c r="J146" s="233"/>
      <c r="K146" s="233"/>
      <c r="L146" s="237"/>
      <c r="M146" s="304"/>
      <c r="N146" s="236"/>
      <c r="O146" s="269"/>
      <c r="P146" s="236" t="str">
        <f t="shared" si="10"/>
        <v/>
      </c>
    </row>
    <row r="147" spans="1:16" s="105" customFormat="1">
      <c r="B147" s="115">
        <f>+B146+1</f>
        <v>82</v>
      </c>
      <c r="C147" s="114"/>
      <c r="D147" s="307" t="str">
        <f>+D126</f>
        <v xml:space="preserve">  Transmission </v>
      </c>
      <c r="E147" s="305" t="s">
        <v>426</v>
      </c>
      <c r="F147" s="306"/>
      <c r="G147" s="309">
        <f>+'[2]OKT Historic TCOS'!G158</f>
        <v>2810141</v>
      </c>
      <c r="H147" s="154"/>
      <c r="I147" s="311" t="s">
        <v>264</v>
      </c>
      <c r="J147" s="214">
        <f>VLOOKUP(I147,PSO_TU_Allocators,2,FALSE)</f>
        <v>0.9715016988431936</v>
      </c>
      <c r="K147" s="310"/>
      <c r="L147" s="309">
        <f>J147*G147</f>
        <v>2730056.7554889107</v>
      </c>
      <c r="M147" s="304"/>
      <c r="N147" s="308">
        <v>2810141</v>
      </c>
      <c r="O147" s="269"/>
      <c r="P147" s="308">
        <f t="shared" si="10"/>
        <v>80084.244511089288</v>
      </c>
    </row>
    <row r="148" spans="1:16" s="105" customFormat="1">
      <c r="B148" s="115">
        <f>+B147+1</f>
        <v>83</v>
      </c>
      <c r="C148" s="114"/>
      <c r="D148" s="155" t="s">
        <v>425</v>
      </c>
      <c r="E148" s="306" t="s">
        <v>424</v>
      </c>
      <c r="F148" s="131"/>
      <c r="G148" s="154">
        <f>+'[2]OKT Historic TCOS'!G161</f>
        <v>0</v>
      </c>
      <c r="H148" s="154"/>
      <c r="I148" s="175" t="s">
        <v>262</v>
      </c>
      <c r="J148" s="214">
        <f>VLOOKUP(I148,PSO_TU_Allocators,2,FALSE)</f>
        <v>0.9715016988431936</v>
      </c>
      <c r="K148" s="131"/>
      <c r="L148" s="154">
        <f>+J148*G148</f>
        <v>0</v>
      </c>
      <c r="M148" s="304"/>
      <c r="N148" s="209">
        <v>0</v>
      </c>
      <c r="O148" s="269"/>
      <c r="P148" s="209">
        <f t="shared" si="10"/>
        <v>0</v>
      </c>
    </row>
    <row r="149" spans="1:16" s="105" customFormat="1">
      <c r="B149" s="115" t="s">
        <v>423</v>
      </c>
      <c r="C149" s="114"/>
      <c r="D149" s="307" t="s">
        <v>422</v>
      </c>
      <c r="E149" s="131" t="str">
        <f>"(Worksheet A ln "&amp;'[2]OKT WS A RB Support '!A90&amp;".E)"</f>
        <v>(Worksheet A ln 37.E)</v>
      </c>
      <c r="F149" s="306"/>
      <c r="G149" s="154">
        <f>+'[2]OKT WS A RB Support '!G88</f>
        <v>28109.266666666666</v>
      </c>
      <c r="H149" s="154"/>
      <c r="I149" s="175" t="s">
        <v>269</v>
      </c>
      <c r="J149" s="214">
        <v>1</v>
      </c>
      <c r="K149" s="131"/>
      <c r="L149" s="154">
        <f>J149*G149</f>
        <v>28109.266666666666</v>
      </c>
      <c r="M149" s="304"/>
      <c r="N149" s="209">
        <v>28109.266666666666</v>
      </c>
      <c r="O149" s="269"/>
      <c r="P149" s="209">
        <f t="shared" si="10"/>
        <v>0</v>
      </c>
    </row>
    <row r="150" spans="1:16" s="105" customFormat="1" ht="15.75" thickBot="1">
      <c r="B150" s="115">
        <f>+B148+1</f>
        <v>84</v>
      </c>
      <c r="C150" s="114"/>
      <c r="D150" s="155" t="s">
        <v>421</v>
      </c>
      <c r="E150" s="306" t="s">
        <v>420</v>
      </c>
      <c r="F150" s="131"/>
      <c r="G150" s="163">
        <f>+'[2]OKT Historic TCOS'!G162</f>
        <v>117304</v>
      </c>
      <c r="H150" s="154"/>
      <c r="I150" s="175" t="s">
        <v>262</v>
      </c>
      <c r="J150" s="214">
        <f>VLOOKUP(I150,PSO_TU_Allocators,2,FALSE)</f>
        <v>0.9715016988431936</v>
      </c>
      <c r="K150" s="131"/>
      <c r="L150" s="163">
        <f>+J150*G150</f>
        <v>113961.03528110198</v>
      </c>
      <c r="M150" s="304"/>
      <c r="N150" s="211">
        <v>117304</v>
      </c>
      <c r="O150" s="269"/>
      <c r="P150" s="211">
        <f t="shared" si="10"/>
        <v>3342.9647188980161</v>
      </c>
    </row>
    <row r="151" spans="1:16" s="105" customFormat="1">
      <c r="B151" s="115">
        <f>+B150+1</f>
        <v>85</v>
      </c>
      <c r="C151" s="114"/>
      <c r="D151" s="155" t="s">
        <v>419</v>
      </c>
      <c r="E151" s="305" t="str">
        <f>"(sum lns "&amp;B147&amp;" to "&amp;B150&amp;")"</f>
        <v>(sum lns 82 to 84)</v>
      </c>
      <c r="F151" s="131"/>
      <c r="G151" s="154">
        <f>SUM(G147:G150)</f>
        <v>2955554.2666666666</v>
      </c>
      <c r="H151" s="131"/>
      <c r="I151" s="175"/>
      <c r="J151" s="131"/>
      <c r="K151" s="131"/>
      <c r="L151" s="154">
        <f>SUM(L147:L150)</f>
        <v>2872127.0574366795</v>
      </c>
      <c r="M151" s="304"/>
      <c r="N151" s="209">
        <v>2955554.2666666666</v>
      </c>
      <c r="O151" s="269"/>
      <c r="P151" s="209">
        <f t="shared" si="10"/>
        <v>83427.209229987115</v>
      </c>
    </row>
    <row r="152" spans="1:16">
      <c r="B152" s="134"/>
      <c r="C152" s="133"/>
      <c r="D152" s="205"/>
      <c r="E152" s="303"/>
      <c r="F152" s="139"/>
      <c r="G152" s="210"/>
      <c r="H152" s="131"/>
      <c r="I152" s="204"/>
      <c r="J152" s="139"/>
      <c r="K152" s="139"/>
      <c r="L152" s="210"/>
      <c r="M152" s="108"/>
      <c r="N152" s="209"/>
      <c r="O152" s="269"/>
      <c r="P152" s="209" t="str">
        <f t="shared" si="10"/>
        <v/>
      </c>
    </row>
    <row r="153" spans="1:16">
      <c r="B153" s="134">
        <f>+B151+1</f>
        <v>86</v>
      </c>
      <c r="C153" s="133"/>
      <c r="D153" s="205" t="s">
        <v>418</v>
      </c>
      <c r="E153" s="120" t="s">
        <v>417</v>
      </c>
      <c r="F153" s="192"/>
      <c r="G153" s="210"/>
      <c r="H153" s="131"/>
      <c r="I153" s="204"/>
      <c r="J153" s="139"/>
      <c r="K153" s="139"/>
      <c r="L153" s="210"/>
      <c r="M153" s="108"/>
      <c r="N153" s="209"/>
      <c r="O153" s="269"/>
      <c r="P153" s="209" t="str">
        <f t="shared" si="10"/>
        <v/>
      </c>
    </row>
    <row r="154" spans="1:16">
      <c r="B154" s="134">
        <f t="shared" ref="B154:B160" si="13">+B153+1</f>
        <v>87</v>
      </c>
      <c r="C154" s="133"/>
      <c r="D154" s="205" t="s">
        <v>416</v>
      </c>
      <c r="E154" s="192"/>
      <c r="F154" s="192"/>
      <c r="G154" s="210"/>
      <c r="H154" s="131"/>
      <c r="I154" s="204"/>
      <c r="J154" s="192"/>
      <c r="K154" s="139"/>
      <c r="L154" s="210"/>
      <c r="M154" s="108"/>
      <c r="N154" s="209"/>
      <c r="O154" s="269"/>
      <c r="P154" s="209" t="str">
        <f t="shared" si="10"/>
        <v/>
      </c>
    </row>
    <row r="155" spans="1:16">
      <c r="B155" s="134">
        <f t="shared" si="13"/>
        <v>88</v>
      </c>
      <c r="C155" s="133"/>
      <c r="D155" s="205" t="s">
        <v>415</v>
      </c>
      <c r="E155" s="131" t="s">
        <v>414</v>
      </c>
      <c r="F155" s="131"/>
      <c r="G155" s="154">
        <f>+'[2]OKT WS L Other Taxes'!I46</f>
        <v>0</v>
      </c>
      <c r="H155" s="154"/>
      <c r="I155" s="204" t="s">
        <v>262</v>
      </c>
      <c r="J155" s="214">
        <f>VLOOKUP(I155,PSO_TU_Allocators,2,FALSE)</f>
        <v>0.9715016988431936</v>
      </c>
      <c r="K155" s="139"/>
      <c r="L155" s="210">
        <f>+J155*G155</f>
        <v>0</v>
      </c>
      <c r="M155" s="108"/>
      <c r="N155" s="209">
        <v>0</v>
      </c>
      <c r="O155" s="269"/>
      <c r="P155" s="209">
        <f t="shared" si="10"/>
        <v>0</v>
      </c>
    </row>
    <row r="156" spans="1:16">
      <c r="B156" s="134">
        <f t="shared" si="13"/>
        <v>89</v>
      </c>
      <c r="C156" s="133"/>
      <c r="D156" s="205" t="s">
        <v>413</v>
      </c>
      <c r="E156" s="131" t="s">
        <v>288</v>
      </c>
      <c r="F156" s="131"/>
      <c r="G156" s="154"/>
      <c r="H156" s="154"/>
      <c r="I156" s="204"/>
      <c r="J156" s="192"/>
      <c r="K156" s="139"/>
      <c r="L156" s="210"/>
      <c r="M156" s="108"/>
      <c r="N156" s="209"/>
      <c r="O156" s="269"/>
      <c r="P156" s="209" t="str">
        <f t="shared" ref="P156:P187" si="14">IF(N156="","",N156-L156)</f>
        <v/>
      </c>
    </row>
    <row r="157" spans="1:16">
      <c r="A157" s="105"/>
      <c r="B157" s="115">
        <f t="shared" si="13"/>
        <v>90</v>
      </c>
      <c r="C157" s="114"/>
      <c r="D157" s="155" t="s">
        <v>412</v>
      </c>
      <c r="E157" s="131" t="s">
        <v>411</v>
      </c>
      <c r="F157" s="131"/>
      <c r="G157" s="154">
        <f>+'[2]OKT WS L Other Taxes'!G46</f>
        <v>2309902.08</v>
      </c>
      <c r="H157" s="154"/>
      <c r="I157" s="175" t="s">
        <v>268</v>
      </c>
      <c r="J157" s="214">
        <f>VLOOKUP(I157,PSO_TU_Allocators,2,FALSE)</f>
        <v>0.9715016988431936</v>
      </c>
      <c r="K157" s="131"/>
      <c r="L157" s="154">
        <f>+G157*J157</f>
        <v>2244073.7948814267</v>
      </c>
      <c r="M157" s="108"/>
      <c r="N157" s="209">
        <v>2309902.08</v>
      </c>
      <c r="O157" s="269"/>
      <c r="P157" s="209">
        <f t="shared" si="14"/>
        <v>65828.285118573345</v>
      </c>
    </row>
    <row r="158" spans="1:16">
      <c r="B158" s="134">
        <f t="shared" si="13"/>
        <v>91</v>
      </c>
      <c r="C158" s="133"/>
      <c r="D158" s="205" t="s">
        <v>410</v>
      </c>
      <c r="E158" s="131" t="s">
        <v>409</v>
      </c>
      <c r="F158" s="131"/>
      <c r="G158" s="154">
        <f>+'[2]OKT WS L Other Taxes'!M46</f>
        <v>0</v>
      </c>
      <c r="H158" s="143"/>
      <c r="I158" s="204" t="s">
        <v>266</v>
      </c>
      <c r="J158" s="214">
        <f>VLOOKUP(I158,PSO_TU_Allocators,2,FALSE)</f>
        <v>0</v>
      </c>
      <c r="K158" s="139"/>
      <c r="L158" s="210">
        <f>+J158*G158</f>
        <v>0</v>
      </c>
      <c r="M158" s="108"/>
      <c r="N158" s="209">
        <v>0</v>
      </c>
      <c r="O158" s="269"/>
      <c r="P158" s="209">
        <f t="shared" si="14"/>
        <v>0</v>
      </c>
    </row>
    <row r="159" spans="1:16" ht="15.75" thickBot="1">
      <c r="B159" s="134">
        <f t="shared" si="13"/>
        <v>92</v>
      </c>
      <c r="C159" s="133"/>
      <c r="D159" s="205" t="s">
        <v>408</v>
      </c>
      <c r="E159" s="131" t="s">
        <v>407</v>
      </c>
      <c r="F159" s="131"/>
      <c r="G159" s="163">
        <f>+'[2]OKT WS L Other Taxes'!K46</f>
        <v>25</v>
      </c>
      <c r="H159" s="143"/>
      <c r="I159" s="204" t="s">
        <v>268</v>
      </c>
      <c r="J159" s="214">
        <f>VLOOKUP(I159,PSO_TU_Allocators,2,FALSE)</f>
        <v>0.9715016988431936</v>
      </c>
      <c r="K159" s="139"/>
      <c r="L159" s="212">
        <f>+J159*G159</f>
        <v>24.287542471079838</v>
      </c>
      <c r="M159" s="108"/>
      <c r="N159" s="211">
        <v>25</v>
      </c>
      <c r="O159" s="269"/>
      <c r="P159" s="211">
        <f t="shared" si="14"/>
        <v>0.71245752892016156</v>
      </c>
    </row>
    <row r="160" spans="1:16">
      <c r="B160" s="134">
        <f t="shared" si="13"/>
        <v>93</v>
      </c>
      <c r="C160" s="133"/>
      <c r="D160" s="205" t="s">
        <v>406</v>
      </c>
      <c r="E160" s="303" t="str">
        <f>"(sum lns "&amp;B155&amp;" to "&amp;B159&amp;")"</f>
        <v>(sum lns 88 to 92)</v>
      </c>
      <c r="F160" s="139"/>
      <c r="G160" s="154">
        <f>SUM(G155:G159)</f>
        <v>2309927.08</v>
      </c>
      <c r="H160" s="131"/>
      <c r="I160" s="204"/>
      <c r="J160" s="270"/>
      <c r="K160" s="139"/>
      <c r="L160" s="210">
        <f>SUM(L155:L159)</f>
        <v>2244098.0824238979</v>
      </c>
      <c r="M160" s="108"/>
      <c r="N160" s="209">
        <v>2309927.08</v>
      </c>
      <c r="O160" s="269"/>
      <c r="P160" s="209">
        <f t="shared" si="14"/>
        <v>65828.997576102149</v>
      </c>
    </row>
    <row r="161" spans="2:16">
      <c r="B161" s="134"/>
      <c r="C161" s="133"/>
      <c r="D161" s="205"/>
      <c r="E161" s="139"/>
      <c r="F161" s="139"/>
      <c r="G161" s="139"/>
      <c r="H161" s="131"/>
      <c r="I161" s="204"/>
      <c r="J161" s="270"/>
      <c r="K161" s="139"/>
      <c r="L161" s="139"/>
      <c r="M161" s="108"/>
      <c r="N161" s="174"/>
      <c r="O161" s="269"/>
      <c r="P161" s="174" t="str">
        <f t="shared" si="14"/>
        <v/>
      </c>
    </row>
    <row r="162" spans="2:16">
      <c r="B162" s="134">
        <f>+B160+1</f>
        <v>94</v>
      </c>
      <c r="C162" s="133"/>
      <c r="D162" s="205" t="s">
        <v>405</v>
      </c>
      <c r="E162" s="131" t="s">
        <v>404</v>
      </c>
      <c r="F162" s="286"/>
      <c r="G162" s="139"/>
      <c r="H162" s="108"/>
      <c r="I162" s="140"/>
      <c r="J162" s="192"/>
      <c r="K162" s="139"/>
      <c r="L162" s="281"/>
      <c r="M162" s="108"/>
      <c r="N162" s="280"/>
      <c r="O162" s="269"/>
      <c r="P162" s="280" t="str">
        <f t="shared" si="14"/>
        <v/>
      </c>
    </row>
    <row r="163" spans="2:16">
      <c r="B163" s="134">
        <f t="shared" ref="B163:B168" si="15">+B162+1</f>
        <v>95</v>
      </c>
      <c r="C163" s="133"/>
      <c r="D163" s="261" t="s">
        <v>403</v>
      </c>
      <c r="E163" s="293"/>
      <c r="F163" s="296"/>
      <c r="G163" s="302">
        <f>IF(F313&gt;0,1-(((1-F314)*(1-F313))/(1-F314*F313*F315)),0)</f>
        <v>0.38678999999999997</v>
      </c>
      <c r="H163" s="301"/>
      <c r="I163" s="295"/>
      <c r="J163" s="301"/>
      <c r="K163" s="293"/>
      <c r="L163" s="281"/>
      <c r="M163" s="108"/>
      <c r="N163" s="280"/>
      <c r="O163" s="269"/>
      <c r="P163" s="280" t="str">
        <f t="shared" si="14"/>
        <v/>
      </c>
    </row>
    <row r="164" spans="2:16">
      <c r="B164" s="134">
        <f t="shared" si="15"/>
        <v>96</v>
      </c>
      <c r="C164" s="133"/>
      <c r="D164" s="276" t="s">
        <v>402</v>
      </c>
      <c r="E164" s="293"/>
      <c r="F164" s="296"/>
      <c r="G164" s="302">
        <f>IF(L244&gt;0,($G163/(1-$G163))*(1-$L225/$L228),0)</f>
        <v>0.46289245620579295</v>
      </c>
      <c r="H164" s="301"/>
      <c r="I164" s="295"/>
      <c r="J164" s="281"/>
      <c r="K164" s="293"/>
      <c r="L164" s="281"/>
      <c r="M164" s="108"/>
      <c r="N164" s="280"/>
      <c r="O164" s="269"/>
      <c r="P164" s="280" t="str">
        <f t="shared" si="14"/>
        <v/>
      </c>
    </row>
    <row r="165" spans="2:16">
      <c r="B165" s="134">
        <f t="shared" si="15"/>
        <v>97</v>
      </c>
      <c r="C165" s="133"/>
      <c r="D165" s="155" t="str">
        <f>"       where WCLTD=(ln "&amp;B225&amp;") and WACC = (ln "&amp;B228&amp;")"</f>
        <v xml:space="preserve">       where WCLTD=(ln 133) and WACC = (ln 136)</v>
      </c>
      <c r="E165" s="300"/>
      <c r="F165" s="299"/>
      <c r="G165" s="139"/>
      <c r="H165" s="108"/>
      <c r="I165" s="295"/>
      <c r="J165" s="294"/>
      <c r="K165" s="293"/>
      <c r="L165" s="277"/>
      <c r="M165" s="108"/>
      <c r="N165" s="298"/>
      <c r="O165" s="269"/>
      <c r="P165" s="298" t="str">
        <f t="shared" si="14"/>
        <v/>
      </c>
    </row>
    <row r="166" spans="2:16">
      <c r="B166" s="134">
        <f t="shared" si="15"/>
        <v>98</v>
      </c>
      <c r="C166" s="133"/>
      <c r="D166" s="205" t="s">
        <v>401</v>
      </c>
      <c r="E166" s="297"/>
      <c r="F166" s="296"/>
      <c r="G166" s="139"/>
      <c r="H166" s="108"/>
      <c r="I166" s="295"/>
      <c r="J166" s="294"/>
      <c r="K166" s="293"/>
      <c r="L166" s="281"/>
      <c r="M166" s="108"/>
      <c r="N166" s="280"/>
      <c r="O166" s="269"/>
      <c r="P166" s="280" t="str">
        <f t="shared" si="14"/>
        <v/>
      </c>
    </row>
    <row r="167" spans="2:16">
      <c r="B167" s="134">
        <f t="shared" si="15"/>
        <v>99</v>
      </c>
      <c r="C167" s="133"/>
      <c r="D167" s="268" t="str">
        <f>"      GRCF=1 / (1 - T)  = (from ln "&amp;B163&amp;")"</f>
        <v xml:space="preserve">      GRCF=1 / (1 - T)  = (from ln 95)</v>
      </c>
      <c r="E167" s="292"/>
      <c r="F167" s="286"/>
      <c r="G167" s="291">
        <f>IF(G163&gt;0,1/(1-G163),0)</f>
        <v>1.6307627077183997</v>
      </c>
      <c r="H167" s="108"/>
      <c r="I167" s="278"/>
      <c r="J167" s="290"/>
      <c r="K167" s="265"/>
      <c r="L167" s="289"/>
      <c r="M167" s="108"/>
      <c r="N167" s="288"/>
      <c r="O167" s="269"/>
      <c r="P167" s="288" t="str">
        <f t="shared" si="14"/>
        <v/>
      </c>
    </row>
    <row r="168" spans="2:16">
      <c r="B168" s="134">
        <f t="shared" si="15"/>
        <v>100</v>
      </c>
      <c r="C168" s="133"/>
      <c r="D168" s="205" t="s">
        <v>400</v>
      </c>
      <c r="E168" s="287" t="s">
        <v>399</v>
      </c>
      <c r="F168" s="286"/>
      <c r="G168" s="154">
        <f>+'[2]OKT Historic TCOS'!G180</f>
        <v>0</v>
      </c>
      <c r="H168" s="108"/>
      <c r="I168" s="278"/>
      <c r="J168" s="285"/>
      <c r="K168" s="265"/>
      <c r="L168" s="284"/>
      <c r="M168" s="108"/>
      <c r="N168" s="263"/>
      <c r="O168" s="269"/>
      <c r="P168" s="263" t="str">
        <f t="shared" si="14"/>
        <v/>
      </c>
    </row>
    <row r="169" spans="2:16">
      <c r="B169" s="134"/>
      <c r="C169" s="133"/>
      <c r="D169" s="205"/>
      <c r="E169" s="283"/>
      <c r="F169" s="282"/>
      <c r="G169" s="210"/>
      <c r="H169" s="108"/>
      <c r="I169" s="278"/>
      <c r="J169" s="277"/>
      <c r="K169" s="265"/>
      <c r="L169" s="281"/>
      <c r="M169" s="108"/>
      <c r="N169" s="280"/>
      <c r="O169" s="269"/>
      <c r="P169" s="280" t="str">
        <f t="shared" si="14"/>
        <v/>
      </c>
    </row>
    <row r="170" spans="2:16">
      <c r="B170" s="134">
        <f>+B168+1</f>
        <v>101</v>
      </c>
      <c r="C170" s="133"/>
      <c r="D170" s="261" t="s">
        <v>398</v>
      </c>
      <c r="E170" s="274" t="str">
        <f>"(ln "&amp;B164&amp;" * ln "&amp;B174&amp;")"</f>
        <v>(ln 96 * ln 104)</v>
      </c>
      <c r="F170" s="279"/>
      <c r="G170" s="210">
        <f>+G164*G174</f>
        <v>4515981.2410256695</v>
      </c>
      <c r="H170" s="108"/>
      <c r="I170" s="278"/>
      <c r="J170" s="277"/>
      <c r="K170" s="210"/>
      <c r="L170" s="210">
        <f>+L174*G164</f>
        <v>4281415.0935149631</v>
      </c>
      <c r="M170" s="108"/>
      <c r="N170" s="209">
        <v>4406719.596715671</v>
      </c>
      <c r="O170" s="269"/>
      <c r="P170" s="209">
        <f t="shared" si="14"/>
        <v>125304.50320070796</v>
      </c>
    </row>
    <row r="171" spans="2:16" ht="15.75" thickBot="1">
      <c r="B171" s="134">
        <f>+B170+1</f>
        <v>102</v>
      </c>
      <c r="C171" s="133"/>
      <c r="D171" s="276" t="s">
        <v>397</v>
      </c>
      <c r="E171" s="274" t="str">
        <f>"(ln "&amp;B167&amp;" * ln "&amp;B168&amp;")"</f>
        <v>(ln 99 * ln 100)</v>
      </c>
      <c r="F171" s="274"/>
      <c r="G171" s="212">
        <f>G167*G168</f>
        <v>0</v>
      </c>
      <c r="H171" s="108"/>
      <c r="I171" s="275" t="s">
        <v>265</v>
      </c>
      <c r="J171" s="214">
        <f>VLOOKUP(I171,PSO_TU_Allocators,2,FALSE)</f>
        <v>0.97105161615326185</v>
      </c>
      <c r="K171" s="210"/>
      <c r="L171" s="212">
        <f>+G171*J171</f>
        <v>0</v>
      </c>
      <c r="M171" s="108"/>
      <c r="N171" s="211">
        <v>0</v>
      </c>
      <c r="O171" s="269"/>
      <c r="P171" s="211">
        <f t="shared" si="14"/>
        <v>0</v>
      </c>
    </row>
    <row r="172" spans="2:16">
      <c r="B172" s="134">
        <f>+B171+1</f>
        <v>103</v>
      </c>
      <c r="C172" s="133"/>
      <c r="D172" s="261" t="s">
        <v>396</v>
      </c>
      <c r="E172" s="139" t="str">
        <f>"(sum lns "&amp;B170&amp;" to "&amp;B171&amp;")"</f>
        <v>(sum lns 101 to 102)</v>
      </c>
      <c r="F172" s="274"/>
      <c r="G172" s="272">
        <f>SUM(G170:G171)</f>
        <v>4515981.2410256695</v>
      </c>
      <c r="H172" s="108"/>
      <c r="I172" s="255" t="s">
        <v>288</v>
      </c>
      <c r="J172" s="273"/>
      <c r="K172" s="210"/>
      <c r="L172" s="272">
        <f>SUM(L170:L171)</f>
        <v>4281415.0935149631</v>
      </c>
      <c r="M172" s="108"/>
      <c r="N172" s="271">
        <v>4406719.596715671</v>
      </c>
      <c r="O172" s="269"/>
      <c r="P172" s="271">
        <f t="shared" si="14"/>
        <v>125304.50320070796</v>
      </c>
    </row>
    <row r="173" spans="2:16">
      <c r="B173" s="134"/>
      <c r="C173" s="133"/>
      <c r="D173" s="205"/>
      <c r="E173" s="139"/>
      <c r="F173" s="139"/>
      <c r="G173" s="139"/>
      <c r="H173" s="131"/>
      <c r="I173" s="204"/>
      <c r="J173" s="270"/>
      <c r="K173" s="139"/>
      <c r="L173" s="139"/>
      <c r="M173" s="108"/>
      <c r="N173" s="174"/>
      <c r="O173" s="269"/>
      <c r="P173" s="174" t="str">
        <f t="shared" si="14"/>
        <v/>
      </c>
    </row>
    <row r="174" spans="2:16">
      <c r="B174" s="134">
        <f>+B172+1</f>
        <v>104</v>
      </c>
      <c r="C174" s="133"/>
      <c r="D174" s="268" t="s">
        <v>395</v>
      </c>
      <c r="E174" s="268" t="str">
        <f>"(ln "&amp;B111&amp;" * ln "&amp;B228&amp;")"</f>
        <v>(ln 63 * ln 136)</v>
      </c>
      <c r="F174" s="267"/>
      <c r="G174" s="266">
        <f>+$L228*G111</f>
        <v>9756005.2674912307</v>
      </c>
      <c r="H174" s="131"/>
      <c r="I174" s="255"/>
      <c r="J174" s="265"/>
      <c r="K174" s="210"/>
      <c r="L174" s="264">
        <f>+L228*L111</f>
        <v>9249265.2150968071</v>
      </c>
      <c r="M174" s="108"/>
      <c r="N174" s="262">
        <v>9519964.1679978669</v>
      </c>
      <c r="O174" s="263"/>
      <c r="P174" s="262">
        <f t="shared" si="14"/>
        <v>270698.95290105976</v>
      </c>
    </row>
    <row r="175" spans="2:16">
      <c r="B175" s="134"/>
      <c r="C175" s="133"/>
      <c r="D175" s="261"/>
      <c r="E175" s="192"/>
      <c r="F175" s="192"/>
      <c r="G175" s="210"/>
      <c r="H175" s="210"/>
      <c r="I175" s="255"/>
      <c r="J175" s="255"/>
      <c r="K175" s="210"/>
      <c r="L175" s="210"/>
      <c r="M175" s="108"/>
      <c r="N175" s="209"/>
      <c r="O175" s="151"/>
      <c r="P175" s="209" t="str">
        <f t="shared" si="14"/>
        <v/>
      </c>
    </row>
    <row r="176" spans="2:16">
      <c r="B176" s="134">
        <f>+B174+1</f>
        <v>105</v>
      </c>
      <c r="C176" s="133"/>
      <c r="D176" s="260" t="s">
        <v>394</v>
      </c>
      <c r="E176" s="192"/>
      <c r="F176" s="259"/>
      <c r="G176" s="154">
        <f>'[2]OKT WS E IPP Credits'!C11</f>
        <v>0</v>
      </c>
      <c r="H176" s="154"/>
      <c r="I176" s="258" t="s">
        <v>269</v>
      </c>
      <c r="J176" s="214">
        <f>VLOOKUP(I176,PSO_TU_Allocators,2,FALSE)</f>
        <v>1</v>
      </c>
      <c r="K176" s="257"/>
      <c r="L176" s="210">
        <f>+J176*G176</f>
        <v>0</v>
      </c>
      <c r="M176" s="108"/>
      <c r="N176" s="209">
        <v>0</v>
      </c>
      <c r="O176" s="151"/>
      <c r="P176" s="209">
        <f t="shared" si="14"/>
        <v>0</v>
      </c>
    </row>
    <row r="177" spans="2:16" ht="15.75" thickBot="1">
      <c r="B177" s="134"/>
      <c r="C177" s="133"/>
      <c r="D177" s="205"/>
      <c r="E177" s="192"/>
      <c r="F177" s="192"/>
      <c r="G177" s="212"/>
      <c r="H177" s="256"/>
      <c r="I177" s="255"/>
      <c r="J177" s="255"/>
      <c r="K177" s="210"/>
      <c r="L177" s="212"/>
      <c r="M177" s="108"/>
      <c r="N177" s="211"/>
      <c r="O177" s="151"/>
      <c r="P177" s="211" t="str">
        <f t="shared" si="14"/>
        <v/>
      </c>
    </row>
    <row r="178" spans="2:16" ht="15.75" thickBot="1">
      <c r="B178" s="134">
        <f>+B176+1</f>
        <v>106</v>
      </c>
      <c r="C178" s="133"/>
      <c r="D178" s="135" t="s">
        <v>393</v>
      </c>
      <c r="E178" s="251"/>
      <c r="F178" s="251"/>
      <c r="G178" s="254">
        <f>G144+G151+G160+G172+G174+G176</f>
        <v>20627942.635442637</v>
      </c>
      <c r="H178" s="210"/>
      <c r="I178" s="255"/>
      <c r="J178" s="248"/>
      <c r="K178" s="210"/>
      <c r="L178" s="254">
        <f>L144+L151+L160+L172+L174+L176</f>
        <v>19707500.203117095</v>
      </c>
      <c r="M178" s="108"/>
      <c r="N178" s="253">
        <v>20282639.891639277</v>
      </c>
      <c r="O178" s="151"/>
      <c r="P178" s="253">
        <f t="shared" si="14"/>
        <v>575139.6885221824</v>
      </c>
    </row>
    <row r="179" spans="2:16" ht="15.75" thickTop="1">
      <c r="B179" s="134">
        <f>+B178+1</f>
        <v>107</v>
      </c>
      <c r="C179" s="133"/>
      <c r="D179" s="119" t="str">
        <f>"    (sum lns "&amp;B144&amp;", "&amp;B151&amp;", "&amp;B160&amp;", "&amp;B172&amp;", "&amp;B174&amp;", "&amp;B176&amp;")"</f>
        <v xml:space="preserve">    (sum lns 80, 85, 93, 103, 104, 105)</v>
      </c>
      <c r="E179" s="251"/>
      <c r="F179" s="251"/>
      <c r="G179" s="252"/>
      <c r="H179" s="210"/>
      <c r="I179" s="210"/>
      <c r="J179" s="248"/>
      <c r="K179" s="210"/>
      <c r="L179" s="252"/>
      <c r="M179" s="108"/>
      <c r="N179" s="236"/>
      <c r="O179" s="151"/>
      <c r="P179" s="236" t="str">
        <f t="shared" si="14"/>
        <v/>
      </c>
    </row>
    <row r="180" spans="2:16">
      <c r="B180" s="134"/>
      <c r="C180" s="133"/>
      <c r="D180" s="135"/>
      <c r="E180" s="251"/>
      <c r="F180" s="251"/>
      <c r="G180" s="252"/>
      <c r="H180" s="210"/>
      <c r="I180" s="210"/>
      <c r="J180" s="248"/>
      <c r="K180" s="210"/>
      <c r="L180" s="252"/>
      <c r="M180" s="108"/>
      <c r="N180" s="236"/>
      <c r="O180" s="151"/>
      <c r="P180" s="236" t="str">
        <f t="shared" si="14"/>
        <v/>
      </c>
    </row>
    <row r="181" spans="2:16">
      <c r="B181" s="134">
        <f>+B179+1</f>
        <v>108</v>
      </c>
      <c r="C181" s="133"/>
      <c r="D181" s="135" t="s">
        <v>392</v>
      </c>
      <c r="F181" s="251"/>
      <c r="G181" s="201">
        <f>+'[2]OKT WS K State Taxes'!Q41</f>
        <v>0</v>
      </c>
      <c r="H181" s="210"/>
      <c r="I181" s="210" t="s">
        <v>269</v>
      </c>
      <c r="J181" s="248"/>
      <c r="K181" s="210"/>
      <c r="L181" s="201">
        <f>+'[2]OKT WS K State Taxes'!S41</f>
        <v>0</v>
      </c>
      <c r="M181" s="108"/>
      <c r="N181" s="200">
        <v>0</v>
      </c>
      <c r="O181" s="151"/>
      <c r="P181" s="200">
        <f t="shared" si="14"/>
        <v>0</v>
      </c>
    </row>
    <row r="182" spans="2:16" ht="15.75">
      <c r="B182" s="134"/>
      <c r="C182" s="108"/>
      <c r="D182" s="108"/>
      <c r="E182" s="108"/>
      <c r="F182" s="108"/>
      <c r="G182" s="108"/>
      <c r="H182" s="108"/>
      <c r="I182" s="249"/>
      <c r="J182" s="250"/>
      <c r="K182" s="249"/>
      <c r="L182" s="120"/>
      <c r="M182" s="108"/>
      <c r="N182" s="242"/>
      <c r="O182" s="151"/>
      <c r="P182" s="242" t="str">
        <f t="shared" si="14"/>
        <v/>
      </c>
    </row>
    <row r="183" spans="2:16" ht="15.75" thickBot="1">
      <c r="B183" s="134">
        <f>+B181+1</f>
        <v>109</v>
      </c>
      <c r="C183" s="133"/>
      <c r="D183" s="192" t="s">
        <v>391</v>
      </c>
      <c r="E183" s="192"/>
      <c r="F183" s="192"/>
      <c r="G183" s="247">
        <f>+G178+G181</f>
        <v>20627942.635442637</v>
      </c>
      <c r="H183" s="192"/>
      <c r="I183" s="192"/>
      <c r="J183" s="248"/>
      <c r="K183" s="192"/>
      <c r="L183" s="247">
        <f>+L178+L181</f>
        <v>19707500.203117095</v>
      </c>
      <c r="M183" s="108"/>
      <c r="N183" s="246">
        <v>20282639.891639277</v>
      </c>
      <c r="O183" s="151"/>
      <c r="P183" s="246">
        <f t="shared" si="14"/>
        <v>575139.6885221824</v>
      </c>
    </row>
    <row r="184" spans="2:16" ht="15.75" thickTop="1">
      <c r="B184" s="134"/>
      <c r="C184" s="133"/>
      <c r="D184" s="135"/>
      <c r="E184" s="192"/>
      <c r="F184" s="194"/>
      <c r="G184" s="192"/>
      <c r="H184" s="192"/>
      <c r="I184" s="192"/>
      <c r="J184" s="192"/>
      <c r="K184" s="192"/>
      <c r="L184" s="192"/>
      <c r="M184" s="108"/>
      <c r="N184" s="242"/>
      <c r="O184" s="151"/>
      <c r="P184" s="242" t="str">
        <f t="shared" si="14"/>
        <v/>
      </c>
    </row>
    <row r="185" spans="2:16">
      <c r="B185" s="134"/>
      <c r="C185" s="133"/>
      <c r="D185" s="192"/>
      <c r="E185" s="192"/>
      <c r="F185" s="194"/>
      <c r="G185" s="192"/>
      <c r="H185" s="192"/>
      <c r="I185" s="192"/>
      <c r="J185" s="192"/>
      <c r="K185" s="192"/>
      <c r="L185" s="192"/>
      <c r="M185" s="108"/>
      <c r="N185" s="242"/>
      <c r="O185" s="151"/>
      <c r="P185" s="242" t="str">
        <f t="shared" si="14"/>
        <v/>
      </c>
    </row>
    <row r="186" spans="2:16">
      <c r="B186" s="134"/>
      <c r="C186" s="133"/>
      <c r="D186" s="135"/>
      <c r="E186" s="192"/>
      <c r="F186" s="140" t="str">
        <f>F114</f>
        <v xml:space="preserve">AEP West SPP Member Companies </v>
      </c>
      <c r="G186" s="192"/>
      <c r="H186" s="192"/>
      <c r="I186" s="192"/>
      <c r="J186" s="192"/>
      <c r="K186" s="192"/>
      <c r="L186" s="192"/>
      <c r="M186" s="108"/>
      <c r="N186" s="242"/>
      <c r="O186" s="151"/>
      <c r="P186" s="242" t="str">
        <f t="shared" si="14"/>
        <v/>
      </c>
    </row>
    <row r="187" spans="2:16">
      <c r="B187" s="134"/>
      <c r="C187" s="133"/>
      <c r="D187" s="135"/>
      <c r="E187" s="192"/>
      <c r="F187" s="140" t="str">
        <f>F115</f>
        <v>Transmission Cost of Service Formula Rate</v>
      </c>
      <c r="G187" s="192"/>
      <c r="H187" s="192"/>
      <c r="I187" s="192"/>
      <c r="J187" s="192"/>
      <c r="K187" s="192"/>
      <c r="L187" s="192"/>
      <c r="M187" s="108"/>
      <c r="N187" s="242"/>
      <c r="O187" s="151"/>
      <c r="P187" s="242" t="str">
        <f t="shared" si="14"/>
        <v/>
      </c>
    </row>
    <row r="188" spans="2:16">
      <c r="B188" s="192"/>
      <c r="C188" s="133"/>
      <c r="D188" s="192"/>
      <c r="E188" s="192"/>
      <c r="F188" s="140" t="str">
        <f>F116</f>
        <v>Utilizing Actual Cost Data for 2013 with Average Ratebase Balances</v>
      </c>
      <c r="G188" s="192"/>
      <c r="H188" s="192"/>
      <c r="I188" s="192"/>
      <c r="J188" s="192"/>
      <c r="K188" s="192"/>
      <c r="M188" s="108"/>
      <c r="N188" s="151"/>
      <c r="O188" s="151"/>
      <c r="P188" s="151" t="str">
        <f t="shared" ref="P188:P213" si="16">IF(N188="","",N188-L188)</f>
        <v/>
      </c>
    </row>
    <row r="189" spans="2:16">
      <c r="B189" s="134"/>
      <c r="C189" s="133"/>
      <c r="E189" s="140"/>
      <c r="F189" s="140"/>
      <c r="G189" s="140"/>
      <c r="H189" s="140"/>
      <c r="I189" s="140"/>
      <c r="J189" s="140"/>
      <c r="K189" s="140"/>
      <c r="M189" s="108"/>
      <c r="N189" s="151"/>
      <c r="O189" s="151"/>
      <c r="P189" s="151" t="str">
        <f t="shared" si="16"/>
        <v/>
      </c>
    </row>
    <row r="190" spans="2:16">
      <c r="B190" s="134"/>
      <c r="C190" s="133"/>
      <c r="D190" s="192"/>
      <c r="E190" s="135"/>
      <c r="F190" s="140" t="str">
        <f>F118</f>
        <v>AEP OKLAHOMA TRANSMISSION COMPANY, INC</v>
      </c>
      <c r="G190" s="135"/>
      <c r="H190" s="135"/>
      <c r="I190" s="135"/>
      <c r="J190" s="135"/>
      <c r="K190" s="135"/>
      <c r="L190" s="135"/>
      <c r="M190" s="108"/>
      <c r="N190" s="245"/>
      <c r="O190" s="151"/>
      <c r="P190" s="245" t="str">
        <f t="shared" si="16"/>
        <v/>
      </c>
    </row>
    <row r="191" spans="2:16">
      <c r="B191" s="134"/>
      <c r="C191" s="133"/>
      <c r="D191" s="192"/>
      <c r="E191" s="135"/>
      <c r="F191" s="140"/>
      <c r="G191" s="210"/>
      <c r="H191" s="135"/>
      <c r="I191" s="135"/>
      <c r="J191" s="135"/>
      <c r="K191" s="135"/>
      <c r="L191" s="210"/>
      <c r="M191" s="108"/>
      <c r="N191" s="209"/>
      <c r="O191" s="151"/>
      <c r="P191" s="209" t="str">
        <f t="shared" si="16"/>
        <v/>
      </c>
    </row>
    <row r="192" spans="2:16" ht="15.75">
      <c r="B192" s="134"/>
      <c r="C192" s="133"/>
      <c r="D192" s="192"/>
      <c r="F192" s="141" t="s">
        <v>390</v>
      </c>
      <c r="G192" s="192"/>
      <c r="H192" s="138"/>
      <c r="I192" s="138"/>
      <c r="J192" s="138"/>
      <c r="K192" s="138"/>
      <c r="L192" s="138"/>
      <c r="M192" s="108"/>
      <c r="N192" s="221"/>
      <c r="O192" s="151"/>
      <c r="P192" s="221" t="str">
        <f t="shared" si="16"/>
        <v/>
      </c>
    </row>
    <row r="193" spans="2:16" ht="15.75">
      <c r="B193" s="134"/>
      <c r="C193" s="133"/>
      <c r="D193" s="244"/>
      <c r="E193" s="138"/>
      <c r="F193" s="138"/>
      <c r="G193" s="138"/>
      <c r="H193" s="138"/>
      <c r="I193" s="138"/>
      <c r="J193" s="138"/>
      <c r="K193" s="138"/>
      <c r="L193" s="138"/>
      <c r="M193" s="108"/>
      <c r="N193" s="221"/>
      <c r="O193" s="151"/>
      <c r="P193" s="221" t="str">
        <f t="shared" si="16"/>
        <v/>
      </c>
    </row>
    <row r="194" spans="2:16" ht="15.75">
      <c r="B194" s="134" t="s">
        <v>389</v>
      </c>
      <c r="C194" s="133"/>
      <c r="D194" s="244"/>
      <c r="E194" s="138"/>
      <c r="F194" s="138"/>
      <c r="G194" s="138"/>
      <c r="H194" s="138"/>
      <c r="I194" s="138"/>
      <c r="J194" s="138"/>
      <c r="K194" s="138"/>
      <c r="L194" s="138"/>
      <c r="M194" s="108"/>
      <c r="N194" s="221"/>
      <c r="O194" s="151"/>
      <c r="P194" s="221" t="str">
        <f t="shared" si="16"/>
        <v/>
      </c>
    </row>
    <row r="195" spans="2:16" ht="15.75" thickBot="1">
      <c r="B195" s="243" t="s">
        <v>388</v>
      </c>
      <c r="C195" s="132"/>
      <c r="D195" s="119" t="s">
        <v>387</v>
      </c>
      <c r="E195" s="125"/>
      <c r="F195" s="125"/>
      <c r="G195" s="125"/>
      <c r="H195" s="125"/>
      <c r="I195" s="125"/>
      <c r="J195" s="125"/>
      <c r="K195" s="120"/>
      <c r="L195" s="192"/>
      <c r="M195" s="108"/>
      <c r="N195" s="242"/>
      <c r="O195" s="151"/>
      <c r="P195" s="242" t="str">
        <f t="shared" si="16"/>
        <v/>
      </c>
    </row>
    <row r="196" spans="2:16">
      <c r="B196" s="134">
        <f>+B183+1</f>
        <v>110</v>
      </c>
      <c r="C196" s="133"/>
      <c r="D196" s="125" t="s">
        <v>386</v>
      </c>
      <c r="E196" s="241" t="str">
        <f>"(ln "&amp;B56&amp;")"</f>
        <v>(ln 18)</v>
      </c>
      <c r="F196" s="235"/>
      <c r="H196" s="233"/>
      <c r="I196" s="233"/>
      <c r="J196" s="233"/>
      <c r="K196" s="233"/>
      <c r="L196" s="237">
        <f>+G56</f>
        <v>156200849.5</v>
      </c>
      <c r="M196" s="108"/>
      <c r="N196" s="236">
        <v>156200849.5</v>
      </c>
      <c r="O196" s="151"/>
      <c r="P196" s="236">
        <f t="shared" si="16"/>
        <v>0</v>
      </c>
    </row>
    <row r="197" spans="2:16">
      <c r="B197" s="134">
        <f>+B196+1</f>
        <v>111</v>
      </c>
      <c r="C197" s="133"/>
      <c r="D197" s="125" t="s">
        <v>385</v>
      </c>
      <c r="E197" s="232"/>
      <c r="F197" s="232"/>
      <c r="G197" s="240"/>
      <c r="H197" s="232"/>
      <c r="I197" s="232"/>
      <c r="J197" s="232"/>
      <c r="K197" s="232"/>
      <c r="L197" s="239">
        <v>4451458.8499999996</v>
      </c>
      <c r="M197" s="108"/>
      <c r="N197" s="181">
        <v>0</v>
      </c>
      <c r="O197" s="151"/>
      <c r="P197" s="181">
        <f t="shared" si="16"/>
        <v>-4451458.8499999996</v>
      </c>
    </row>
    <row r="198" spans="2:16" ht="15.75" thickBot="1">
      <c r="B198" s="134">
        <f>+B197+1</f>
        <v>112</v>
      </c>
      <c r="C198" s="133"/>
      <c r="D198" s="235" t="str">
        <f>"  Less transmission plant included in OATT Ancillary Services (Worksheet A, ln "&amp;'[2]OKT WS A RB Support '!A62&amp;", Col. "&amp;'[2]OKT WS A RB Support '!E6&amp;")  (Note R)"</f>
        <v xml:space="preserve">  Less transmission plant included in OATT Ancillary Services (Worksheet A, ln 23, Col. (C))  (Note R)</v>
      </c>
      <c r="E198" s="235"/>
      <c r="F198" s="235"/>
      <c r="G198" s="234"/>
      <c r="H198" s="233"/>
      <c r="I198" s="233"/>
      <c r="J198" s="234"/>
      <c r="K198" s="233"/>
      <c r="L198" s="199">
        <f>+'[2]OKT WS A RB Support '!G62</f>
        <v>0</v>
      </c>
      <c r="M198" s="108"/>
      <c r="N198" s="198">
        <v>0</v>
      </c>
      <c r="O198" s="151"/>
      <c r="P198" s="198">
        <f t="shared" si="16"/>
        <v>0</v>
      </c>
    </row>
    <row r="199" spans="2:16">
      <c r="B199" s="134">
        <f>+B198+1</f>
        <v>113</v>
      </c>
      <c r="C199" s="133"/>
      <c r="D199" s="125" t="s">
        <v>384</v>
      </c>
      <c r="E199" s="238" t="str">
        <f>"(ln "&amp;B196&amp;" - ln "&amp;B197&amp;" - ln "&amp;B198&amp;")"</f>
        <v>(ln 110 - ln 111 - ln 112)</v>
      </c>
      <c r="F199" s="235"/>
      <c r="H199" s="233"/>
      <c r="I199" s="233"/>
      <c r="J199" s="234"/>
      <c r="K199" s="233"/>
      <c r="L199" s="237">
        <f>L196-L197-L198</f>
        <v>151749390.65000001</v>
      </c>
      <c r="M199" s="108"/>
      <c r="N199" s="236">
        <v>156200849.5</v>
      </c>
      <c r="O199" s="151"/>
      <c r="P199" s="236">
        <f t="shared" si="16"/>
        <v>4451458.849999994</v>
      </c>
    </row>
    <row r="200" spans="2:16">
      <c r="B200" s="134"/>
      <c r="C200" s="133"/>
      <c r="D200" s="120"/>
      <c r="E200" s="235"/>
      <c r="F200" s="235"/>
      <c r="G200" s="234"/>
      <c r="H200" s="233"/>
      <c r="I200" s="233"/>
      <c r="J200" s="234"/>
      <c r="K200" s="233"/>
      <c r="L200" s="232"/>
      <c r="M200" s="108"/>
      <c r="N200" s="231"/>
      <c r="O200" s="151"/>
      <c r="P200" s="231" t="str">
        <f t="shared" si="16"/>
        <v/>
      </c>
    </row>
    <row r="201" spans="2:16" ht="15.75">
      <c r="B201" s="134">
        <f>+B199+1</f>
        <v>114</v>
      </c>
      <c r="C201" s="133"/>
      <c r="D201" s="125" t="s">
        <v>383</v>
      </c>
      <c r="E201" s="230" t="str">
        <f>"(ln "&amp;B199&amp;" / ln "&amp;B196&amp;")"</f>
        <v>(ln 113 / ln 110)</v>
      </c>
      <c r="F201" s="229"/>
      <c r="H201" s="228"/>
      <c r="I201" s="227"/>
      <c r="J201" s="227"/>
      <c r="K201" s="226" t="s">
        <v>382</v>
      </c>
      <c r="L201" s="225">
        <f>IF(L196&gt;0,L199/L196,0)</f>
        <v>0.9715016988431936</v>
      </c>
      <c r="M201" s="108"/>
      <c r="N201" s="224">
        <v>1</v>
      </c>
      <c r="O201" s="151"/>
      <c r="P201" s="224">
        <f t="shared" si="16"/>
        <v>2.8498301156806405E-2</v>
      </c>
    </row>
    <row r="202" spans="2:16" ht="15.75">
      <c r="B202" s="134"/>
      <c r="C202" s="133"/>
      <c r="D202" s="223"/>
      <c r="E202" s="125"/>
      <c r="F202" s="125"/>
      <c r="G202" s="222"/>
      <c r="H202" s="125"/>
      <c r="I202" s="114"/>
      <c r="J202" s="125"/>
      <c r="K202" s="125"/>
      <c r="L202" s="138"/>
      <c r="M202" s="108"/>
      <c r="N202" s="221"/>
      <c r="O202" s="151"/>
      <c r="P202" s="221" t="str">
        <f t="shared" si="16"/>
        <v/>
      </c>
    </row>
    <row r="203" spans="2:16" ht="30">
      <c r="B203" s="115">
        <f>B201+1</f>
        <v>115</v>
      </c>
      <c r="C203" s="114"/>
      <c r="D203" s="119" t="s">
        <v>381</v>
      </c>
      <c r="E203" s="175" t="s">
        <v>343</v>
      </c>
      <c r="F203" s="175" t="s">
        <v>380</v>
      </c>
      <c r="G203" s="220" t="s">
        <v>379</v>
      </c>
      <c r="H203" s="219" t="s">
        <v>372</v>
      </c>
      <c r="I203" s="204"/>
      <c r="J203" s="139"/>
      <c r="K203" s="139"/>
      <c r="L203" s="139"/>
      <c r="M203" s="108"/>
      <c r="N203" s="174"/>
      <c r="O203" s="151"/>
      <c r="P203" s="174" t="str">
        <f t="shared" si="16"/>
        <v/>
      </c>
    </row>
    <row r="204" spans="2:16">
      <c r="B204" s="115">
        <f t="shared" ref="B204:B209" si="17">+B203+1</f>
        <v>116</v>
      </c>
      <c r="C204" s="114"/>
      <c r="D204" s="217" t="s">
        <v>374</v>
      </c>
      <c r="E204" s="131"/>
      <c r="F204" s="131"/>
      <c r="G204" s="154"/>
      <c r="H204" s="154"/>
      <c r="I204" s="175"/>
      <c r="J204" s="214"/>
      <c r="K204" s="131"/>
      <c r="L204" s="154"/>
      <c r="M204" s="108"/>
      <c r="N204" s="209"/>
      <c r="O204" s="151"/>
      <c r="P204" s="209" t="str">
        <f t="shared" si="16"/>
        <v/>
      </c>
    </row>
    <row r="205" spans="2:16">
      <c r="B205" s="115">
        <f t="shared" si="17"/>
        <v>117</v>
      </c>
      <c r="C205" s="114"/>
      <c r="D205" s="155" t="s">
        <v>378</v>
      </c>
      <c r="E205" s="131" t="s">
        <v>377</v>
      </c>
      <c r="F205" s="131">
        <f>+'[2]OKT Historic TCOS'!F217</f>
        <v>0</v>
      </c>
      <c r="G205" s="131">
        <f>+'[2]OKT Historic TCOS'!G217+48</f>
        <v>119647</v>
      </c>
      <c r="H205" s="218">
        <f>+F205+G205</f>
        <v>119647</v>
      </c>
      <c r="I205" s="114" t="s">
        <v>264</v>
      </c>
      <c r="J205" s="214">
        <f>VLOOKUP(I205,PSO_TU_Allocators,2,FALSE)</f>
        <v>0.9715016988431936</v>
      </c>
      <c r="K205" s="213"/>
      <c r="L205" s="210">
        <f>(F205+G205)*J205</f>
        <v>116237.26376149159</v>
      </c>
      <c r="M205" s="108"/>
      <c r="N205" s="209">
        <v>119647</v>
      </c>
      <c r="O205" s="151"/>
      <c r="P205" s="209">
        <f t="shared" si="16"/>
        <v>3409.7362385084125</v>
      </c>
    </row>
    <row r="206" spans="2:16">
      <c r="B206" s="115">
        <f t="shared" si="17"/>
        <v>118</v>
      </c>
      <c r="C206" s="114"/>
      <c r="D206" s="155" t="s">
        <v>376</v>
      </c>
      <c r="E206" s="131" t="s">
        <v>375</v>
      </c>
      <c r="F206" s="131">
        <f>+'[2]OKT Historic TCOS'!F218</f>
        <v>0</v>
      </c>
      <c r="G206" s="131">
        <f>+'[2]OKT Historic TCOS'!G218</f>
        <v>0</v>
      </c>
      <c r="H206" s="218">
        <f>+F206+G206</f>
        <v>0</v>
      </c>
      <c r="I206" s="204" t="s">
        <v>266</v>
      </c>
      <c r="J206" s="214">
        <f>VLOOKUP(I206,PSO_TU_Allocators,2,FALSE)</f>
        <v>0</v>
      </c>
      <c r="K206" s="213"/>
      <c r="L206" s="210">
        <f>(F206+G206)*J206</f>
        <v>0</v>
      </c>
      <c r="M206" s="108"/>
      <c r="N206" s="209">
        <v>0</v>
      </c>
      <c r="O206" s="151"/>
      <c r="P206" s="209">
        <f t="shared" si="16"/>
        <v>0</v>
      </c>
    </row>
    <row r="207" spans="2:16">
      <c r="B207" s="115">
        <f t="shared" si="17"/>
        <v>119</v>
      </c>
      <c r="C207" s="114"/>
      <c r="D207" s="217" t="s">
        <v>374</v>
      </c>
      <c r="E207" s="131"/>
      <c r="F207" s="131"/>
      <c r="G207" s="154"/>
      <c r="H207" s="154"/>
      <c r="I207" s="175"/>
      <c r="J207" s="214"/>
      <c r="K207" s="131"/>
      <c r="L207" s="154"/>
      <c r="M207" s="108"/>
      <c r="N207" s="209"/>
      <c r="O207" s="151"/>
      <c r="P207" s="209" t="str">
        <f t="shared" si="16"/>
        <v/>
      </c>
    </row>
    <row r="208" spans="2:16" ht="15.75" thickBot="1">
      <c r="B208" s="115">
        <f t="shared" si="17"/>
        <v>120</v>
      </c>
      <c r="C208" s="114"/>
      <c r="D208" s="155" t="s">
        <v>373</v>
      </c>
      <c r="E208" s="139">
        <v>0</v>
      </c>
      <c r="F208" s="216">
        <f>+'[2]OKT Historic TCOS'!F220</f>
        <v>0</v>
      </c>
      <c r="G208" s="216">
        <v>0</v>
      </c>
      <c r="H208" s="215">
        <f>+F208+G208</f>
        <v>0</v>
      </c>
      <c r="I208" s="204" t="s">
        <v>266</v>
      </c>
      <c r="J208" s="214">
        <f>VLOOKUP(I208,PSO_TU_Allocators,2,FALSE)</f>
        <v>0</v>
      </c>
      <c r="K208" s="213"/>
      <c r="L208" s="212">
        <f>(F208+G208)*J208</f>
        <v>0</v>
      </c>
      <c r="M208" s="108"/>
      <c r="N208" s="211">
        <v>0</v>
      </c>
      <c r="O208" s="151"/>
      <c r="P208" s="211">
        <f t="shared" si="16"/>
        <v>0</v>
      </c>
    </row>
    <row r="209" spans="2:16">
      <c r="B209" s="115">
        <f t="shared" si="17"/>
        <v>121</v>
      </c>
      <c r="C209" s="114"/>
      <c r="D209" s="155" t="s">
        <v>372</v>
      </c>
      <c r="E209" s="155" t="str">
        <f>"(sum lns "&amp;B204&amp;" to "&amp;B208&amp;")"</f>
        <v>(sum lns 116 to 120)</v>
      </c>
      <c r="F209" s="131">
        <f>SUM(F204:F208)</f>
        <v>0</v>
      </c>
      <c r="G209" s="131">
        <f>SUM(G204:G208)</f>
        <v>119647</v>
      </c>
      <c r="H209" s="131">
        <f>SUM(H204:H208)</f>
        <v>119647</v>
      </c>
      <c r="I209" s="204"/>
      <c r="J209" s="139"/>
      <c r="K209" s="139"/>
      <c r="L209" s="210">
        <f>SUM(L204:L208)</f>
        <v>116237.26376149159</v>
      </c>
      <c r="M209" s="108"/>
      <c r="N209" s="209">
        <v>119647</v>
      </c>
      <c r="O209" s="151"/>
      <c r="P209" s="209">
        <f t="shared" si="16"/>
        <v>3409.7362385084125</v>
      </c>
    </row>
    <row r="210" spans="2:16">
      <c r="B210" s="115"/>
      <c r="C210" s="114"/>
      <c r="D210" s="155" t="s">
        <v>288</v>
      </c>
      <c r="E210" s="131" t="s">
        <v>288</v>
      </c>
      <c r="F210" s="131"/>
      <c r="G210" s="120"/>
      <c r="H210" s="131"/>
      <c r="I210" s="128"/>
      <c r="M210" s="108"/>
      <c r="N210" s="151"/>
      <c r="O210" s="151"/>
      <c r="P210" s="151" t="str">
        <f t="shared" si="16"/>
        <v/>
      </c>
    </row>
    <row r="211" spans="2:16" ht="15.75">
      <c r="B211" s="134">
        <f>B209+1</f>
        <v>122</v>
      </c>
      <c r="C211" s="133"/>
      <c r="D211" s="205" t="s">
        <v>371</v>
      </c>
      <c r="E211" s="131"/>
      <c r="F211" s="131"/>
      <c r="G211" s="131"/>
      <c r="H211" s="131"/>
      <c r="I211" s="128"/>
      <c r="K211" s="208" t="s">
        <v>370</v>
      </c>
      <c r="L211" s="207">
        <f>IF(H209&lt;&gt;0,L209/(F209+G209),0)</f>
        <v>0.9715016988431936</v>
      </c>
      <c r="M211" s="108"/>
      <c r="N211" s="206">
        <v>1</v>
      </c>
      <c r="O211" s="151"/>
      <c r="P211" s="206">
        <f t="shared" si="16"/>
        <v>2.8498301156806405E-2</v>
      </c>
    </row>
    <row r="212" spans="2:16">
      <c r="B212" s="134"/>
      <c r="C212" s="133"/>
      <c r="D212" s="205"/>
      <c r="E212" s="131"/>
      <c r="F212" s="131"/>
      <c r="G212" s="131"/>
      <c r="H212" s="131"/>
      <c r="I212" s="204"/>
      <c r="J212" s="139"/>
      <c r="K212" s="139"/>
      <c r="L212" s="139"/>
      <c r="M212" s="108"/>
      <c r="N212" s="174"/>
      <c r="O212" s="151"/>
      <c r="P212" s="174" t="str">
        <f t="shared" si="16"/>
        <v/>
      </c>
    </row>
    <row r="213" spans="2:16" ht="15.75">
      <c r="B213" s="134"/>
      <c r="C213" s="133"/>
      <c r="D213" s="195" t="s">
        <v>369</v>
      </c>
      <c r="E213" s="131"/>
      <c r="F213" s="131"/>
      <c r="G213" s="131"/>
      <c r="H213" s="131"/>
      <c r="I213" s="204"/>
      <c r="J213" s="139"/>
      <c r="K213" s="139"/>
      <c r="L213" s="139"/>
      <c r="M213" s="108"/>
      <c r="N213" s="174"/>
      <c r="O213" s="151"/>
      <c r="P213" s="174" t="str">
        <f t="shared" si="16"/>
        <v/>
      </c>
    </row>
    <row r="214" spans="2:16" ht="15.75" thickBot="1">
      <c r="B214" s="115">
        <f>+B211+1</f>
        <v>123</v>
      </c>
      <c r="C214" s="114"/>
      <c r="D214" s="155" t="s">
        <v>363</v>
      </c>
      <c r="E214" s="131"/>
      <c r="F214" s="131"/>
      <c r="G214" s="131"/>
      <c r="H214" s="131"/>
      <c r="I214" s="131"/>
      <c r="J214" s="131"/>
      <c r="K214" s="131"/>
      <c r="L214" s="188" t="s">
        <v>362</v>
      </c>
      <c r="M214" s="108"/>
      <c r="N214" s="187" t="s">
        <v>362</v>
      </c>
      <c r="O214" s="151"/>
      <c r="P214" s="187" t="s">
        <v>362</v>
      </c>
    </row>
    <row r="215" spans="2:16">
      <c r="B215" s="115">
        <f t="shared" ref="B215:B222" si="18">+B214+1</f>
        <v>124</v>
      </c>
      <c r="C215" s="114"/>
      <c r="D215" s="131" t="s">
        <v>361</v>
      </c>
      <c r="E215" s="104" t="s">
        <v>368</v>
      </c>
      <c r="F215" s="131"/>
      <c r="G215" s="131"/>
      <c r="H215" s="131"/>
      <c r="I215" s="131"/>
      <c r="J215" s="131"/>
      <c r="K215" s="131"/>
      <c r="L215" s="203">
        <f>+'[2]OKT WS N Avg Cap Structure'!E32</f>
        <v>4213035.3600000003</v>
      </c>
      <c r="M215" s="108"/>
      <c r="N215" s="202">
        <v>4213035.3600000003</v>
      </c>
      <c r="O215" s="151"/>
      <c r="P215" s="202">
        <f>IF(N215="","",N215-L215)</f>
        <v>0</v>
      </c>
    </row>
    <row r="216" spans="2:16">
      <c r="B216" s="115">
        <f t="shared" si="18"/>
        <v>125</v>
      </c>
      <c r="C216" s="114"/>
      <c r="D216" s="131" t="s">
        <v>359</v>
      </c>
      <c r="E216" s="104" t="s">
        <v>367</v>
      </c>
      <c r="F216" s="131"/>
      <c r="G216" s="131"/>
      <c r="H216" s="131"/>
      <c r="I216" s="131"/>
      <c r="J216" s="131"/>
      <c r="K216" s="131"/>
      <c r="L216" s="203">
        <f>+'[2]OKT WS N Avg Cap Structure'!E74</f>
        <v>0</v>
      </c>
      <c r="M216" s="108"/>
      <c r="N216" s="202">
        <v>0</v>
      </c>
      <c r="O216" s="151"/>
      <c r="P216" s="202">
        <f>IF(N216="","",N216-L216)</f>
        <v>0</v>
      </c>
    </row>
    <row r="217" spans="2:16" ht="15.75" thickBot="1">
      <c r="B217" s="115">
        <f t="shared" si="18"/>
        <v>126</v>
      </c>
      <c r="C217" s="114"/>
      <c r="D217" s="185" t="s">
        <v>357</v>
      </c>
      <c r="E217" s="131"/>
      <c r="F217" s="131"/>
      <c r="G217" s="131"/>
      <c r="H217" s="108"/>
      <c r="I217" s="108"/>
      <c r="J217" s="108"/>
      <c r="K217" s="131"/>
      <c r="L217" s="184" t="s">
        <v>356</v>
      </c>
      <c r="M217" s="108"/>
      <c r="N217" s="183" t="s">
        <v>356</v>
      </c>
      <c r="O217" s="151"/>
      <c r="P217" s="183" t="s">
        <v>356</v>
      </c>
    </row>
    <row r="218" spans="2:16">
      <c r="B218" s="115">
        <f t="shared" si="18"/>
        <v>127</v>
      </c>
      <c r="C218" s="114"/>
      <c r="D218" s="131" t="s">
        <v>355</v>
      </c>
      <c r="E218" s="104" t="str">
        <f>"(Worksheet N, ln. "&amp;'[2]OKT WS N Avg Cap Structure'!A11&amp;", col. "&amp;'[2]OKT WS N Avg Cap Structure'!E6&amp;")"</f>
        <v>(Worksheet N, ln. 1, col. (E))</v>
      </c>
      <c r="F218" s="131"/>
      <c r="G218" s="125"/>
      <c r="H218" s="108"/>
      <c r="I218" s="108"/>
      <c r="J218" s="108"/>
      <c r="K218" s="131"/>
      <c r="L218" s="201">
        <f>+'[2]OKT WS N Avg Cap Structure'!E11</f>
        <v>108350203.5</v>
      </c>
      <c r="M218" s="108"/>
      <c r="N218" s="200">
        <v>108350203.5</v>
      </c>
      <c r="O218" s="151"/>
      <c r="P218" s="200">
        <f t="shared" ref="P218:P223" si="19">IF(N218="","",N218-L218)</f>
        <v>0</v>
      </c>
    </row>
    <row r="219" spans="2:16">
      <c r="B219" s="115">
        <f t="shared" si="18"/>
        <v>128</v>
      </c>
      <c r="C219" s="114"/>
      <c r="D219" s="131" t="str">
        <f>"Less Preferred Stock (ln "&amp;B226&amp;")"</f>
        <v>Less Preferred Stock (ln 134)</v>
      </c>
      <c r="E219" s="104" t="str">
        <f>"(Worksheet N, ln. "&amp;'[2]OKT WS N Avg Cap Structure'!A12&amp;", col. "&amp;'[2]OKT WS N Avg Cap Structure'!E6&amp;")"</f>
        <v>(Worksheet N, ln. 2, col. (E))</v>
      </c>
      <c r="F219" s="131"/>
      <c r="G219" s="131"/>
      <c r="H219" s="108"/>
      <c r="I219" s="108"/>
      <c r="J219" s="108"/>
      <c r="K219" s="131"/>
      <c r="L219" s="201">
        <f>+'[2]OKT WS N Avg Cap Structure'!E12</f>
        <v>0</v>
      </c>
      <c r="M219" s="108"/>
      <c r="N219" s="200">
        <v>0</v>
      </c>
      <c r="O219" s="151"/>
      <c r="P219" s="200">
        <f t="shared" si="19"/>
        <v>0</v>
      </c>
    </row>
    <row r="220" spans="2:16">
      <c r="B220" s="115">
        <f t="shared" si="18"/>
        <v>129</v>
      </c>
      <c r="C220" s="114"/>
      <c r="D220" s="131" t="s">
        <v>352</v>
      </c>
      <c r="E220" s="104" t="str">
        <f>"(Worksheet N, ln. "&amp;'[2]OKT WS N Avg Cap Structure'!A13&amp;", col. "&amp;'[2]OKT WS N Avg Cap Structure'!E6&amp;")"</f>
        <v>(Worksheet N, ln. 3, col. (E))</v>
      </c>
      <c r="F220" s="131"/>
      <c r="G220" s="131"/>
      <c r="H220" s="108"/>
      <c r="I220" s="108"/>
      <c r="J220" s="108"/>
      <c r="K220" s="131"/>
      <c r="L220" s="201">
        <f>+'[2]OKT WS N Avg Cap Structure'!E13</f>
        <v>0</v>
      </c>
      <c r="M220" s="108"/>
      <c r="N220" s="200">
        <v>0</v>
      </c>
      <c r="O220" s="151"/>
      <c r="P220" s="200">
        <f t="shared" si="19"/>
        <v>0</v>
      </c>
    </row>
    <row r="221" spans="2:16" ht="15.75" thickBot="1">
      <c r="B221" s="115">
        <f t="shared" si="18"/>
        <v>130</v>
      </c>
      <c r="C221" s="114"/>
      <c r="D221" s="131" t="s">
        <v>350</v>
      </c>
      <c r="E221" s="104" t="str">
        <f>"(Worksheet N, ln. "&amp;'[2]OKT WS N Avg Cap Structure'!A14&amp;", col. "&amp;'[2]OKT WS N Avg Cap Structure'!E6&amp;")"</f>
        <v>(Worksheet N, ln. 4, col. (E))</v>
      </c>
      <c r="F221" s="131"/>
      <c r="G221" s="131"/>
      <c r="H221" s="108"/>
      <c r="I221" s="108"/>
      <c r="J221" s="108"/>
      <c r="K221" s="131"/>
      <c r="L221" s="199">
        <f>+'[2]OKT WS N Avg Cap Structure'!E14</f>
        <v>0</v>
      </c>
      <c r="M221" s="108"/>
      <c r="N221" s="198">
        <v>0</v>
      </c>
      <c r="O221" s="151"/>
      <c r="P221" s="198">
        <f t="shared" si="19"/>
        <v>0</v>
      </c>
    </row>
    <row r="222" spans="2:16">
      <c r="B222" s="115">
        <f t="shared" si="18"/>
        <v>131</v>
      </c>
      <c r="C222" s="114"/>
      <c r="D222" s="104" t="s">
        <v>348</v>
      </c>
      <c r="E222" s="131" t="str">
        <f>"(ln "&amp;B218&amp;" - ln "&amp;B219&amp;" - ln "&amp;B220&amp;" - ln "&amp;B221&amp;")"</f>
        <v>(ln 127 - ln 128 - ln 129 - ln 130)</v>
      </c>
      <c r="F222" s="178"/>
      <c r="G222" s="105"/>
      <c r="H222" s="125"/>
      <c r="I222" s="125"/>
      <c r="J222" s="125"/>
      <c r="K222" s="125"/>
      <c r="L222" s="177">
        <f>+L218-L219-L220-L221</f>
        <v>108350203.5</v>
      </c>
      <c r="M222" s="108"/>
      <c r="N222" s="176">
        <v>108350203.5</v>
      </c>
      <c r="O222" s="151"/>
      <c r="P222" s="176">
        <f t="shared" si="19"/>
        <v>0</v>
      </c>
    </row>
    <row r="223" spans="2:16" ht="15.75">
      <c r="B223" s="115"/>
      <c r="C223" s="114"/>
      <c r="D223" s="155"/>
      <c r="E223" s="131"/>
      <c r="F223" s="131"/>
      <c r="G223" s="475" t="s">
        <v>347</v>
      </c>
      <c r="H223" s="475"/>
      <c r="I223" s="131"/>
      <c r="J223" s="175" t="s">
        <v>346</v>
      </c>
      <c r="K223" s="131"/>
      <c r="L223" s="131"/>
      <c r="M223" s="108"/>
      <c r="N223" s="174"/>
      <c r="O223" s="151"/>
      <c r="P223" s="174" t="str">
        <f t="shared" si="19"/>
        <v/>
      </c>
    </row>
    <row r="224" spans="2:16" ht="15.75" thickBot="1">
      <c r="B224" s="115">
        <f>+B222+1</f>
        <v>132</v>
      </c>
      <c r="C224" s="114"/>
      <c r="D224" s="155"/>
      <c r="E224" s="172" t="str">
        <f>""&amp;'[2]OKT Historic TCOS'!O2&amp;" Avg Balances"</f>
        <v>2014 Avg Balances</v>
      </c>
      <c r="G224" s="172" t="s">
        <v>345</v>
      </c>
      <c r="H224" s="173" t="s">
        <v>344</v>
      </c>
      <c r="I224" s="131"/>
      <c r="J224" s="172" t="s">
        <v>343</v>
      </c>
      <c r="K224" s="131"/>
      <c r="L224" s="172" t="s">
        <v>342</v>
      </c>
      <c r="M224" s="108"/>
      <c r="N224" s="171" t="s">
        <v>342</v>
      </c>
      <c r="O224" s="151"/>
      <c r="P224" s="171" t="s">
        <v>342</v>
      </c>
    </row>
    <row r="225" spans="1:16">
      <c r="B225" s="115">
        <f>+B224+1</f>
        <v>133</v>
      </c>
      <c r="C225" s="114"/>
      <c r="D225" s="131" t="str">
        <f>"Avg Long Term Debt (Worksheet N, ln. "&amp;'[2]OKT WS N Avg Cap Structure'!A23&amp;", col. "&amp;'[2]OKT WS N Avg Cap Structure'!E6&amp;")"</f>
        <v>Avg Long Term Debt (Worksheet N, ln. 10, col. (E))</v>
      </c>
      <c r="E225" s="154">
        <f>+'[2]OKT WS N Avg Cap Structure'!E23</f>
        <v>103725000</v>
      </c>
      <c r="G225" s="162">
        <f>IF($E$228&gt;0,E225/$E$228,0)</f>
        <v>0.48909536941691534</v>
      </c>
      <c r="H225" s="161">
        <f>IF(G227&gt;E230,1-H226-H227,0)</f>
        <v>0.5</v>
      </c>
      <c r="I225" s="160"/>
      <c r="J225" s="166">
        <f>IF(E225&gt;0,L215/E225,0)</f>
        <v>4.0617357049891542E-2</v>
      </c>
      <c r="K225" s="120"/>
      <c r="L225" s="170">
        <f>IF(G$227&gt;E$230,J225*H225,J225*G225)</f>
        <v>2.0308678524945771E-2</v>
      </c>
      <c r="M225" s="108"/>
      <c r="N225" s="169">
        <v>2.0308678524945771E-2</v>
      </c>
      <c r="O225" s="151"/>
      <c r="P225" s="169">
        <f t="shared" ref="P225:P232" si="20">IF(N225="","",N225-L225)</f>
        <v>0</v>
      </c>
    </row>
    <row r="226" spans="1:16">
      <c r="B226" s="115">
        <f>+B225+1</f>
        <v>134</v>
      </c>
      <c r="C226" s="114"/>
      <c r="D226" s="131" t="str">
        <f>"Avg Preferred Stock (Worksheet N, ln. "&amp;'[2]OKT WS N Avg Cap Structure'!A73&amp;", col. "&amp;'[2]OKT WS M Cost of Debt for Proj.'!F6&amp;")"</f>
        <v>Avg Preferred Stock (Worksheet N, ln. 46, col. (E))</v>
      </c>
      <c r="E226" s="154">
        <f>+'[2]OKT WS N Avg Cap Structure'!E70</f>
        <v>0</v>
      </c>
      <c r="G226" s="162">
        <f>IF($E$228&gt;0,E226/$E$228,0)</f>
        <v>0</v>
      </c>
      <c r="H226" s="161">
        <f>IF(G227&gt;E230,G226,0)</f>
        <v>0</v>
      </c>
      <c r="I226" s="160"/>
      <c r="J226" s="166">
        <f>IF(E226&gt;0,L216/E226,0)</f>
        <v>0</v>
      </c>
      <c r="K226" s="120"/>
      <c r="L226" s="165">
        <f>IF(G$227&gt;E$230,J226*H226,J226*G226)</f>
        <v>0</v>
      </c>
      <c r="M226" s="108"/>
      <c r="N226" s="164">
        <v>0</v>
      </c>
      <c r="O226" s="151"/>
      <c r="P226" s="164">
        <f t="shared" si="20"/>
        <v>0</v>
      </c>
    </row>
    <row r="227" spans="1:16" ht="15.75" thickBot="1">
      <c r="B227" s="115">
        <f>+B226+1</f>
        <v>135</v>
      </c>
      <c r="C227" s="114"/>
      <c r="D227" s="155" t="str">
        <f>"Avg Common Stock  (ln "&amp;B222&amp;") (Note U)"</f>
        <v>Avg Common Stock  (ln 131) (Note U)</v>
      </c>
      <c r="E227" s="163">
        <f>+L222</f>
        <v>108350203.5</v>
      </c>
      <c r="G227" s="162">
        <f>IF($E$228&gt;0,E227/$E$228,0)</f>
        <v>0.51090463058308466</v>
      </c>
      <c r="H227" s="161">
        <f>IF(G227&gt;E230,E230,0)</f>
        <v>0.5</v>
      </c>
      <c r="I227" s="160"/>
      <c r="J227" s="166">
        <f>'[2]OKT Historic TCOS'!J240</f>
        <v>0.112</v>
      </c>
      <c r="K227" s="120"/>
      <c r="L227" s="158">
        <f>IF(G$227&gt;E$230,J227*H227,J227*G227)</f>
        <v>5.6000000000000001E-2</v>
      </c>
      <c r="M227" s="108"/>
      <c r="N227" s="156">
        <v>5.6000000000000001E-2</v>
      </c>
      <c r="O227" s="151"/>
      <c r="P227" s="156">
        <f t="shared" si="20"/>
        <v>0</v>
      </c>
    </row>
    <row r="228" spans="1:16" ht="15.75">
      <c r="B228" s="115">
        <f>+B227+1</f>
        <v>136</v>
      </c>
      <c r="C228" s="114"/>
      <c r="D228" s="155" t="str">
        <f>"  Total  (sum lns "&amp;B225&amp;" to "&amp;B227&amp;")"</f>
        <v xml:space="preserve">  Total  (sum lns 133 to 135)</v>
      </c>
      <c r="E228" s="154">
        <f>E227+E226+E225</f>
        <v>212075203.5</v>
      </c>
      <c r="G228" s="131" t="s">
        <v>288</v>
      </c>
      <c r="I228" s="131"/>
      <c r="J228" s="143"/>
      <c r="K228" s="153" t="s">
        <v>339</v>
      </c>
      <c r="L228" s="152">
        <f>SUM(L225:L227)</f>
        <v>7.6308678524945772E-2</v>
      </c>
      <c r="M228" s="108"/>
      <c r="N228" s="150">
        <v>7.6308678524945772E-2</v>
      </c>
      <c r="O228" s="151"/>
      <c r="P228" s="150">
        <f t="shared" si="20"/>
        <v>0</v>
      </c>
    </row>
    <row r="229" spans="1:16">
      <c r="B229" s="149"/>
      <c r="C229" s="108"/>
      <c r="D229" s="108"/>
      <c r="E229" s="143"/>
      <c r="F229" s="143"/>
      <c r="G229" s="143"/>
      <c r="H229" s="143"/>
      <c r="I229" s="143"/>
      <c r="J229" s="129"/>
      <c r="K229" s="129"/>
      <c r="L229" s="129"/>
      <c r="M229" s="108"/>
      <c r="N229" s="197"/>
      <c r="O229" s="151"/>
      <c r="P229" s="197" t="str">
        <f t="shared" si="20"/>
        <v/>
      </c>
    </row>
    <row r="230" spans="1:16">
      <c r="B230" s="134">
        <f>+B228+1</f>
        <v>137</v>
      </c>
      <c r="C230" s="108"/>
      <c r="D230" s="130" t="s">
        <v>366</v>
      </c>
      <c r="E230" s="147">
        <f>+'[2]OKT Historic TCOS'!E243</f>
        <v>0.5</v>
      </c>
      <c r="F230" s="143"/>
      <c r="G230" s="146"/>
      <c r="H230" s="143"/>
      <c r="I230" s="143"/>
      <c r="J230" s="131"/>
      <c r="K230" s="125"/>
      <c r="L230" s="131"/>
      <c r="M230" s="108"/>
      <c r="N230" s="174"/>
      <c r="O230" s="151"/>
      <c r="P230" s="174" t="str">
        <f t="shared" si="20"/>
        <v/>
      </c>
    </row>
    <row r="231" spans="1:16" s="105" customFormat="1" ht="15.75">
      <c r="B231" s="115"/>
      <c r="C231" s="114"/>
      <c r="D231" s="155"/>
      <c r="E231" s="194"/>
      <c r="F231" s="131"/>
      <c r="G231" s="120"/>
      <c r="H231" s="131"/>
      <c r="I231" s="131"/>
      <c r="J231" s="131"/>
      <c r="K231" s="196"/>
      <c r="L231" s="190"/>
      <c r="M231" s="143"/>
      <c r="N231" s="189"/>
      <c r="O231" s="151"/>
      <c r="P231" s="189" t="str">
        <f t="shared" si="20"/>
        <v/>
      </c>
    </row>
    <row r="232" spans="1:16" ht="15.75">
      <c r="A232" s="105"/>
      <c r="B232" s="134"/>
      <c r="C232" s="133"/>
      <c r="D232" s="195" t="s">
        <v>365</v>
      </c>
      <c r="E232" s="194"/>
      <c r="F232" s="193" t="s">
        <v>364</v>
      </c>
      <c r="G232" s="192"/>
      <c r="H232" s="139"/>
      <c r="I232" s="139"/>
      <c r="J232" s="139"/>
      <c r="K232" s="191"/>
      <c r="L232" s="190"/>
      <c r="M232" s="143"/>
      <c r="N232" s="189"/>
      <c r="O232" s="151"/>
      <c r="P232" s="189" t="str">
        <f t="shared" si="20"/>
        <v/>
      </c>
    </row>
    <row r="233" spans="1:16" ht="15.75" thickBot="1">
      <c r="A233" s="105"/>
      <c r="B233" s="115">
        <f>+B230+1</f>
        <v>138</v>
      </c>
      <c r="C233" s="114"/>
      <c r="D233" s="155" t="s">
        <v>363</v>
      </c>
      <c r="E233" s="131"/>
      <c r="F233" s="131"/>
      <c r="G233" s="131"/>
      <c r="H233" s="131"/>
      <c r="I233" s="131"/>
      <c r="J233" s="131"/>
      <c r="K233" s="131"/>
      <c r="L233" s="188" t="s">
        <v>362</v>
      </c>
      <c r="M233" s="143"/>
      <c r="N233" s="187" t="s">
        <v>362</v>
      </c>
      <c r="O233" s="151"/>
      <c r="P233" s="187" t="s">
        <v>362</v>
      </c>
    </row>
    <row r="234" spans="1:16">
      <c r="A234" s="105"/>
      <c r="B234" s="115">
        <f t="shared" ref="B234:B241" si="21">+B233+1</f>
        <v>139</v>
      </c>
      <c r="C234" s="114"/>
      <c r="D234" s="131" t="s">
        <v>361</v>
      </c>
      <c r="E234" s="104" t="s">
        <v>360</v>
      </c>
      <c r="F234" s="131"/>
      <c r="G234" s="131"/>
      <c r="H234" s="131"/>
      <c r="I234" s="131"/>
      <c r="J234" s="131"/>
      <c r="K234" s="131"/>
      <c r="L234" s="167">
        <v>53852457</v>
      </c>
      <c r="M234" s="143"/>
      <c r="N234" s="186">
        <v>53852457</v>
      </c>
      <c r="O234" s="151"/>
      <c r="P234" s="186">
        <f>IF(N234="","",N234-L234)</f>
        <v>0</v>
      </c>
    </row>
    <row r="235" spans="1:16">
      <c r="A235" s="105"/>
      <c r="B235" s="115">
        <f t="shared" si="21"/>
        <v>140</v>
      </c>
      <c r="C235" s="114"/>
      <c r="D235" s="131" t="s">
        <v>359</v>
      </c>
      <c r="E235" s="104" t="s">
        <v>358</v>
      </c>
      <c r="F235" s="131"/>
      <c r="G235" s="131"/>
      <c r="H235" s="131"/>
      <c r="I235" s="131"/>
      <c r="J235" s="131"/>
      <c r="K235" s="131"/>
      <c r="L235" s="167">
        <v>0</v>
      </c>
      <c r="M235" s="143"/>
      <c r="N235" s="186">
        <v>0</v>
      </c>
      <c r="O235" s="151"/>
      <c r="P235" s="186">
        <f>IF(N235="","",N235-L235)</f>
        <v>0</v>
      </c>
    </row>
    <row r="236" spans="1:16" ht="15.75" thickBot="1">
      <c r="A236" s="105"/>
      <c r="B236" s="115">
        <f t="shared" si="21"/>
        <v>141</v>
      </c>
      <c r="C236" s="114"/>
      <c r="D236" s="185" t="s">
        <v>357</v>
      </c>
      <c r="E236" s="131"/>
      <c r="F236" s="131"/>
      <c r="G236" s="131"/>
      <c r="H236" s="108"/>
      <c r="I236" s="108"/>
      <c r="J236" s="108"/>
      <c r="K236" s="131"/>
      <c r="L236" s="184" t="s">
        <v>356</v>
      </c>
      <c r="M236" s="143"/>
      <c r="N236" s="183" t="s">
        <v>356</v>
      </c>
      <c r="O236" s="151"/>
      <c r="P236" s="183" t="s">
        <v>356</v>
      </c>
    </row>
    <row r="237" spans="1:16">
      <c r="A237" s="105"/>
      <c r="B237" s="115">
        <f t="shared" si="21"/>
        <v>142</v>
      </c>
      <c r="C237" s="114"/>
      <c r="D237" s="131" t="s">
        <v>355</v>
      </c>
      <c r="E237" s="104" t="s">
        <v>354</v>
      </c>
      <c r="F237" s="131"/>
      <c r="G237" s="125"/>
      <c r="H237" s="108"/>
      <c r="I237" s="108"/>
      <c r="J237" s="108"/>
      <c r="K237" s="131"/>
      <c r="L237" s="182">
        <v>929189233.5</v>
      </c>
      <c r="M237" s="143"/>
      <c r="N237" s="181">
        <v>929189233.5</v>
      </c>
      <c r="O237" s="151"/>
      <c r="P237" s="181">
        <f t="shared" ref="P237:P242" si="22">IF(N237="","",N237-L237)</f>
        <v>0</v>
      </c>
    </row>
    <row r="238" spans="1:16">
      <c r="A238" s="105"/>
      <c r="B238" s="115">
        <f t="shared" si="21"/>
        <v>143</v>
      </c>
      <c r="C238" s="114"/>
      <c r="D238" s="131" t="str">
        <f>"Less Preferred Stock (ln "&amp;B245&amp;")"</f>
        <v>Less Preferred Stock (ln 149)</v>
      </c>
      <c r="E238" s="104" t="s">
        <v>353</v>
      </c>
      <c r="F238" s="131"/>
      <c r="G238" s="131"/>
      <c r="H238" s="108"/>
      <c r="I238" s="108"/>
      <c r="J238" s="108"/>
      <c r="K238" s="131"/>
      <c r="L238" s="182">
        <v>0</v>
      </c>
      <c r="M238" s="143"/>
      <c r="N238" s="181">
        <v>0</v>
      </c>
      <c r="O238" s="151"/>
      <c r="P238" s="181">
        <f t="shared" si="22"/>
        <v>0</v>
      </c>
    </row>
    <row r="239" spans="1:16">
      <c r="A239" s="105"/>
      <c r="B239" s="115">
        <f t="shared" si="21"/>
        <v>144</v>
      </c>
      <c r="C239" s="114"/>
      <c r="D239" s="131" t="s">
        <v>352</v>
      </c>
      <c r="E239" s="104" t="s">
        <v>351</v>
      </c>
      <c r="F239" s="131"/>
      <c r="G239" s="131"/>
      <c r="H239" s="108"/>
      <c r="I239" s="108"/>
      <c r="J239" s="108"/>
      <c r="K239" s="131"/>
      <c r="L239" s="182">
        <v>0</v>
      </c>
      <c r="M239" s="143"/>
      <c r="N239" s="181">
        <v>0</v>
      </c>
      <c r="O239" s="151"/>
      <c r="P239" s="181">
        <f t="shared" si="22"/>
        <v>0</v>
      </c>
    </row>
    <row r="240" spans="1:16" ht="15.75" thickBot="1">
      <c r="A240" s="105"/>
      <c r="B240" s="115">
        <f t="shared" si="21"/>
        <v>145</v>
      </c>
      <c r="C240" s="114"/>
      <c r="D240" s="131" t="s">
        <v>350</v>
      </c>
      <c r="E240" s="104" t="s">
        <v>349</v>
      </c>
      <c r="F240" s="131"/>
      <c r="G240" s="131"/>
      <c r="H240" s="108"/>
      <c r="I240" s="108"/>
      <c r="J240" s="108"/>
      <c r="K240" s="131"/>
      <c r="L240" s="180">
        <v>6118881.5</v>
      </c>
      <c r="M240" s="143"/>
      <c r="N240" s="179">
        <v>6118881.5</v>
      </c>
      <c r="O240" s="151"/>
      <c r="P240" s="179">
        <f t="shared" si="22"/>
        <v>0</v>
      </c>
    </row>
    <row r="241" spans="1:21">
      <c r="A241" s="105"/>
      <c r="B241" s="115">
        <f t="shared" si="21"/>
        <v>146</v>
      </c>
      <c r="C241" s="114"/>
      <c r="D241" s="104" t="s">
        <v>348</v>
      </c>
      <c r="E241" s="131" t="str">
        <f>"(ln "&amp;B237&amp;" - ln "&amp;B238&amp;" - ln "&amp;B239&amp;" - ln "&amp;B240&amp;")"</f>
        <v>(ln 142 - ln 143 - ln 144 - ln 145)</v>
      </c>
      <c r="F241" s="178"/>
      <c r="G241" s="105"/>
      <c r="H241" s="125"/>
      <c r="I241" s="125"/>
      <c r="J241" s="125"/>
      <c r="K241" s="125"/>
      <c r="L241" s="177">
        <f>+L237-L238-L239-L240</f>
        <v>923070352</v>
      </c>
      <c r="M241" s="143"/>
      <c r="N241" s="176">
        <v>923070352</v>
      </c>
      <c r="O241" s="151"/>
      <c r="P241" s="176">
        <f t="shared" si="22"/>
        <v>0</v>
      </c>
    </row>
    <row r="242" spans="1:21" ht="15.75">
      <c r="A242" s="105"/>
      <c r="B242" s="115"/>
      <c r="C242" s="114"/>
      <c r="D242" s="155"/>
      <c r="E242" s="131"/>
      <c r="F242" s="131"/>
      <c r="G242" s="475" t="s">
        <v>347</v>
      </c>
      <c r="H242" s="475"/>
      <c r="I242" s="131"/>
      <c r="J242" s="175" t="s">
        <v>346</v>
      </c>
      <c r="K242" s="131"/>
      <c r="L242" s="131"/>
      <c r="M242" s="143"/>
      <c r="N242" s="174"/>
      <c r="O242" s="151"/>
      <c r="P242" s="174" t="str">
        <f t="shared" si="22"/>
        <v/>
      </c>
    </row>
    <row r="243" spans="1:21" ht="15.75" thickBot="1">
      <c r="A243" s="105"/>
      <c r="B243" s="115">
        <f>+B241+1</f>
        <v>147</v>
      </c>
      <c r="C243" s="114"/>
      <c r="D243" s="155"/>
      <c r="E243" s="172" t="str">
        <f>""&amp;'[2]OKT Historic TCOS'!O1&amp;" Avg Balances"</f>
        <v>2013 Avg Balances</v>
      </c>
      <c r="G243" s="172" t="s">
        <v>345</v>
      </c>
      <c r="H243" s="173" t="s">
        <v>344</v>
      </c>
      <c r="I243" s="131"/>
      <c r="J243" s="172" t="s">
        <v>343</v>
      </c>
      <c r="K243" s="131"/>
      <c r="L243" s="172" t="s">
        <v>342</v>
      </c>
      <c r="M243" s="143"/>
      <c r="N243" s="171" t="s">
        <v>342</v>
      </c>
      <c r="O243" s="157"/>
      <c r="P243" s="171" t="s">
        <v>342</v>
      </c>
      <c r="Q243" s="168"/>
      <c r="R243" s="168"/>
      <c r="S243" s="168"/>
      <c r="T243" s="168"/>
      <c r="U243" s="168"/>
    </row>
    <row r="244" spans="1:21">
      <c r="A244" s="105"/>
      <c r="B244" s="115">
        <f>+B243+1</f>
        <v>148</v>
      </c>
      <c r="C244" s="114"/>
      <c r="D244" s="131" t="s">
        <v>341</v>
      </c>
      <c r="E244" s="167">
        <v>978305469.5</v>
      </c>
      <c r="G244" s="162">
        <f>IF($E$247&gt;0,E244/$E$247,0)</f>
        <v>0.51452503941499184</v>
      </c>
      <c r="H244" s="161">
        <f>IF(G246&gt;E249,1-H245-H246,0)</f>
        <v>0</v>
      </c>
      <c r="I244" s="160"/>
      <c r="J244" s="166">
        <f>IF(E244&gt;0,L234/E244,0)</f>
        <v>5.5046668631550569E-2</v>
      </c>
      <c r="K244" s="120"/>
      <c r="L244" s="170">
        <f>IF(G$246&gt;E$249,J244*H244,J244*G244)</f>
        <v>2.8322889347312551E-2</v>
      </c>
      <c r="M244" s="143"/>
      <c r="N244" s="169">
        <v>2.8322889347312551E-2</v>
      </c>
      <c r="O244" s="157"/>
      <c r="P244" s="169">
        <f>IF(N244="","",N244-L244)</f>
        <v>0</v>
      </c>
      <c r="Q244" s="168"/>
      <c r="R244" s="168"/>
      <c r="S244" s="168"/>
      <c r="T244" s="168"/>
      <c r="U244" s="168"/>
    </row>
    <row r="245" spans="1:21">
      <c r="A245" s="105"/>
      <c r="B245" s="115">
        <f>+B244+1</f>
        <v>149</v>
      </c>
      <c r="C245" s="114"/>
      <c r="D245" s="131" t="s">
        <v>340</v>
      </c>
      <c r="E245" s="167">
        <v>0</v>
      </c>
      <c r="G245" s="162">
        <f>IF($E$247&gt;0,E245/$E$247,0)</f>
        <v>0</v>
      </c>
      <c r="H245" s="161">
        <f>IF(G246&gt;E249,G245,0)</f>
        <v>0</v>
      </c>
      <c r="I245" s="160"/>
      <c r="J245" s="166">
        <f>IF(E245&gt;0,L235/E245,0)</f>
        <v>0</v>
      </c>
      <c r="K245" s="120"/>
      <c r="L245" s="165">
        <f>IF(G$246&gt;E$249,J245*H245,J245*G245)</f>
        <v>0</v>
      </c>
      <c r="M245" s="143"/>
      <c r="N245" s="164">
        <v>0</v>
      </c>
      <c r="O245" s="157"/>
      <c r="P245" s="164">
        <f>IF(N245="","",N245-L245)</f>
        <v>0</v>
      </c>
    </row>
    <row r="246" spans="1:21" ht="15.75" thickBot="1">
      <c r="A246" s="105"/>
      <c r="B246" s="115">
        <f>+B245+1</f>
        <v>150</v>
      </c>
      <c r="C246" s="114"/>
      <c r="D246" s="155" t="str">
        <f>"Avg Common Stock  (ln "&amp;B241&amp;") (Note U)"</f>
        <v>Avg Common Stock  (ln 146) (Note U)</v>
      </c>
      <c r="E246" s="163">
        <f>+L241</f>
        <v>923070352</v>
      </c>
      <c r="G246" s="162">
        <f>IF($E$247&gt;0,E246/$E$247,0)</f>
        <v>0.48547496058500816</v>
      </c>
      <c r="H246" s="161">
        <f>IF(G246&gt;E249,E249,0)</f>
        <v>0</v>
      </c>
      <c r="I246" s="160"/>
      <c r="J246" s="159">
        <v>0.112</v>
      </c>
      <c r="K246" s="120"/>
      <c r="L246" s="158">
        <f>IF(G$246&gt;E$249,J246*H246,J246*G246)</f>
        <v>5.4373195585520916E-2</v>
      </c>
      <c r="M246" s="143"/>
      <c r="N246" s="156">
        <v>5.4373195585520916E-2</v>
      </c>
      <c r="O246" s="157"/>
      <c r="P246" s="156">
        <f>IF(N246="","",N246-L246)</f>
        <v>0</v>
      </c>
    </row>
    <row r="247" spans="1:21" ht="15.75">
      <c r="A247" s="105"/>
      <c r="B247" s="115">
        <f>+B246+1</f>
        <v>151</v>
      </c>
      <c r="C247" s="114"/>
      <c r="D247" s="155" t="str">
        <f>"  Total  (sum lns "&amp;B244&amp;" to "&amp;B246&amp;")"</f>
        <v xml:space="preserve">  Total  (sum lns 148 to 150)</v>
      </c>
      <c r="E247" s="154">
        <f>E246+E245+E244</f>
        <v>1901375821.5</v>
      </c>
      <c r="G247" s="131" t="s">
        <v>288</v>
      </c>
      <c r="I247" s="131"/>
      <c r="J247" s="143"/>
      <c r="K247" s="153" t="s">
        <v>339</v>
      </c>
      <c r="L247" s="152">
        <f>SUM(L244:L246)</f>
        <v>8.2696084932833466E-2</v>
      </c>
      <c r="M247" s="143"/>
      <c r="N247" s="150">
        <v>8.2696084932833466E-2</v>
      </c>
      <c r="O247" s="151"/>
      <c r="P247" s="150">
        <f>IF(N247="","",N247-L247)</f>
        <v>0</v>
      </c>
    </row>
    <row r="248" spans="1:21">
      <c r="A248" s="105"/>
      <c r="B248" s="149"/>
      <c r="C248" s="108"/>
      <c r="D248" s="108"/>
      <c r="E248" s="143"/>
      <c r="F248" s="143"/>
      <c r="G248" s="143"/>
      <c r="H248" s="143"/>
      <c r="I248" s="143"/>
      <c r="J248" s="129"/>
      <c r="K248" s="129"/>
      <c r="L248" s="129"/>
      <c r="M248" s="143"/>
      <c r="N248" s="129"/>
      <c r="O248" s="111"/>
      <c r="P248" s="129"/>
      <c r="Q248" s="111"/>
      <c r="R248" s="111"/>
      <c r="S248" s="111"/>
      <c r="T248" s="111"/>
      <c r="U248" s="111"/>
    </row>
    <row r="249" spans="1:21">
      <c r="A249" s="105"/>
      <c r="B249" s="134">
        <f>+B247+1</f>
        <v>152</v>
      </c>
      <c r="C249" s="108"/>
      <c r="D249" s="148" t="s">
        <v>338</v>
      </c>
      <c r="E249" s="147">
        <f>+'[2]OKT Historic TCOS'!E262</f>
        <v>0.52500000000000002</v>
      </c>
      <c r="F249" s="143"/>
      <c r="G249" s="146"/>
      <c r="H249" s="143"/>
      <c r="I249" s="143"/>
      <c r="J249" s="131"/>
      <c r="K249" s="125"/>
      <c r="L249" s="131"/>
      <c r="M249" s="143"/>
      <c r="N249" s="131"/>
      <c r="O249" s="111"/>
      <c r="P249" s="131"/>
      <c r="Q249" s="111"/>
      <c r="R249" s="111"/>
      <c r="S249" s="111"/>
      <c r="T249" s="111"/>
      <c r="U249" s="111"/>
    </row>
    <row r="250" spans="1:21" s="105" customFormat="1">
      <c r="B250" s="115"/>
      <c r="C250" s="143"/>
      <c r="D250" s="143"/>
      <c r="E250" s="143"/>
      <c r="F250" s="143"/>
      <c r="G250" s="143"/>
      <c r="H250" s="143"/>
      <c r="I250" s="143"/>
      <c r="J250" s="131"/>
      <c r="K250" s="125"/>
      <c r="L250" s="131"/>
      <c r="M250" s="143"/>
      <c r="N250" s="131"/>
      <c r="O250" s="111"/>
      <c r="P250" s="131"/>
      <c r="Q250" s="111"/>
      <c r="R250" s="111"/>
      <c r="S250" s="111"/>
      <c r="T250" s="111"/>
      <c r="U250" s="111"/>
    </row>
    <row r="251" spans="1:21" ht="15.75">
      <c r="B251" s="134"/>
      <c r="C251" s="133"/>
      <c r="D251" s="145"/>
      <c r="E251" s="145"/>
      <c r="F251" s="140" t="str">
        <f>F186</f>
        <v xml:space="preserve">AEP West SPP Member Companies </v>
      </c>
      <c r="G251" s="144"/>
      <c r="H251" s="139"/>
      <c r="I251" s="139"/>
      <c r="J251" s="139"/>
      <c r="K251" s="138"/>
      <c r="L251" s="139"/>
      <c r="M251" s="143"/>
      <c r="N251" s="139"/>
      <c r="O251" s="111"/>
      <c r="P251" s="139"/>
      <c r="Q251" s="111"/>
      <c r="R251" s="111"/>
      <c r="S251" s="111"/>
      <c r="T251" s="111"/>
      <c r="U251" s="111"/>
    </row>
    <row r="252" spans="1:21">
      <c r="B252" s="134"/>
      <c r="C252" s="133"/>
      <c r="D252" s="142"/>
      <c r="E252" s="133"/>
      <c r="F252" s="140" t="str">
        <f>F187</f>
        <v>Transmission Cost of Service Formula Rate</v>
      </c>
      <c r="G252" s="139"/>
      <c r="H252" s="139"/>
      <c r="I252" s="139"/>
      <c r="J252" s="139"/>
      <c r="K252" s="138"/>
      <c r="L252" s="136"/>
      <c r="M252" s="108"/>
      <c r="N252" s="136"/>
      <c r="O252" s="111"/>
      <c r="P252" s="136"/>
      <c r="Q252" s="111"/>
      <c r="R252" s="111"/>
      <c r="S252" s="111"/>
      <c r="T252" s="111"/>
      <c r="U252" s="111"/>
    </row>
    <row r="253" spans="1:21" ht="15.75">
      <c r="B253" s="134"/>
      <c r="C253" s="133"/>
      <c r="D253" s="142"/>
      <c r="E253" s="141"/>
      <c r="F253" s="140" t="str">
        <f>F188</f>
        <v>Utilizing Actual Cost Data for 2013 with Average Ratebase Balances</v>
      </c>
      <c r="G253" s="139"/>
      <c r="H253" s="139"/>
      <c r="I253" s="139"/>
      <c r="J253" s="139"/>
      <c r="K253" s="138"/>
      <c r="L253" s="136"/>
      <c r="M253" s="108"/>
      <c r="N253" s="136"/>
      <c r="O253" s="111"/>
      <c r="P253" s="136"/>
      <c r="Q253" s="111"/>
      <c r="R253" s="111"/>
      <c r="S253" s="111"/>
      <c r="T253" s="111"/>
      <c r="U253" s="111"/>
    </row>
    <row r="254" spans="1:21" ht="15.75">
      <c r="B254" s="134"/>
      <c r="C254" s="133"/>
      <c r="D254" s="142"/>
      <c r="E254" s="141"/>
      <c r="F254" s="140"/>
      <c r="G254" s="139"/>
      <c r="H254" s="139"/>
      <c r="I254" s="139"/>
      <c r="J254" s="139"/>
      <c r="K254" s="138"/>
      <c r="L254" s="136"/>
      <c r="M254" s="108"/>
      <c r="N254" s="136"/>
      <c r="O254" s="111"/>
      <c r="P254" s="136"/>
      <c r="Q254" s="111"/>
      <c r="R254" s="111"/>
      <c r="S254" s="111"/>
      <c r="T254" s="111"/>
      <c r="U254" s="111"/>
    </row>
    <row r="255" spans="1:21" ht="15.75">
      <c r="B255" s="134"/>
      <c r="C255" s="133"/>
      <c r="D255" s="142"/>
      <c r="E255" s="141"/>
      <c r="F255" s="140" t="str">
        <f>F190</f>
        <v>AEP OKLAHOMA TRANSMISSION COMPANY, INC</v>
      </c>
      <c r="G255" s="139"/>
      <c r="H255" s="139"/>
      <c r="I255" s="139"/>
      <c r="J255" s="139"/>
      <c r="K255" s="138"/>
      <c r="L255" s="136"/>
      <c r="M255" s="108"/>
      <c r="N255" s="136"/>
      <c r="O255" s="111"/>
      <c r="P255" s="136"/>
      <c r="Q255" s="111"/>
      <c r="R255" s="111"/>
      <c r="S255" s="111"/>
      <c r="T255" s="111"/>
      <c r="U255" s="111"/>
    </row>
    <row r="256" spans="1:21" ht="15.75">
      <c r="B256" s="134"/>
      <c r="C256" s="133"/>
      <c r="D256" s="142"/>
      <c r="E256" s="141"/>
      <c r="F256" s="140"/>
      <c r="G256" s="139"/>
      <c r="H256" s="139"/>
      <c r="I256" s="139"/>
      <c r="J256" s="139"/>
      <c r="K256" s="138"/>
      <c r="L256" s="136"/>
      <c r="M256" s="108"/>
      <c r="N256" s="136"/>
      <c r="O256" s="111"/>
      <c r="P256" s="136"/>
      <c r="Q256" s="111"/>
      <c r="R256" s="111"/>
      <c r="S256" s="111"/>
      <c r="T256" s="111"/>
      <c r="U256" s="111"/>
    </row>
    <row r="257" spans="2:21" ht="15.75">
      <c r="B257" s="137" t="s">
        <v>337</v>
      </c>
      <c r="C257" s="132"/>
      <c r="D257" s="119"/>
      <c r="E257" s="125"/>
      <c r="F257" s="137" t="s">
        <v>336</v>
      </c>
      <c r="G257" s="131"/>
      <c r="H257" s="131"/>
      <c r="I257" s="131"/>
      <c r="J257" s="131"/>
      <c r="K257" s="125"/>
      <c r="L257" s="131"/>
      <c r="M257" s="108"/>
      <c r="N257" s="131"/>
      <c r="O257" s="111"/>
      <c r="P257" s="131"/>
      <c r="Q257" s="111"/>
      <c r="R257" s="111"/>
      <c r="S257" s="111"/>
      <c r="T257" s="111"/>
      <c r="U257" s="111"/>
    </row>
    <row r="258" spans="2:21">
      <c r="C258" s="132"/>
      <c r="L258" s="136"/>
      <c r="M258" s="108"/>
      <c r="N258" s="136"/>
      <c r="O258" s="111"/>
      <c r="P258" s="136"/>
      <c r="Q258" s="111"/>
      <c r="R258" s="111"/>
      <c r="S258" s="111"/>
      <c r="T258" s="111"/>
      <c r="U258" s="111"/>
    </row>
    <row r="259" spans="2:21">
      <c r="C259" s="132"/>
      <c r="D259" s="135" t="s">
        <v>335</v>
      </c>
      <c r="J259" s="118"/>
      <c r="K259" s="108"/>
      <c r="L259" s="108"/>
      <c r="M259" s="108"/>
      <c r="N259" s="108"/>
      <c r="O259" s="111"/>
      <c r="P259" s="108"/>
      <c r="Q259" s="111"/>
      <c r="R259" s="111"/>
      <c r="S259" s="111"/>
      <c r="T259" s="111"/>
      <c r="U259" s="111"/>
    </row>
    <row r="260" spans="2:21">
      <c r="B260" s="134"/>
      <c r="C260" s="133"/>
      <c r="D260" s="105" t="s">
        <v>334</v>
      </c>
      <c r="E260" s="114"/>
      <c r="F260" s="114"/>
      <c r="G260" s="131"/>
      <c r="H260" s="131"/>
      <c r="I260" s="131"/>
      <c r="J260" s="126"/>
      <c r="K260" s="108"/>
      <c r="L260" s="108"/>
      <c r="M260" s="108"/>
      <c r="N260" s="108"/>
      <c r="O260" s="111"/>
      <c r="P260" s="108"/>
      <c r="Q260" s="111"/>
      <c r="R260" s="111"/>
      <c r="S260" s="111"/>
      <c r="T260" s="111"/>
      <c r="U260" s="111"/>
    </row>
    <row r="261" spans="2:21">
      <c r="B261" s="104"/>
      <c r="D261" s="119" t="s">
        <v>333</v>
      </c>
      <c r="E261" s="125"/>
      <c r="F261" s="125"/>
      <c r="G261" s="131"/>
      <c r="H261" s="131"/>
      <c r="I261" s="131"/>
      <c r="J261" s="126"/>
      <c r="K261" s="108"/>
      <c r="L261" s="108"/>
      <c r="M261" s="108"/>
      <c r="N261" s="108"/>
      <c r="O261" s="111"/>
      <c r="P261" s="108"/>
      <c r="Q261" s="111"/>
      <c r="R261" s="111"/>
      <c r="S261" s="111"/>
      <c r="T261" s="111"/>
      <c r="U261" s="111"/>
    </row>
    <row r="262" spans="2:21">
      <c r="B262" s="104"/>
      <c r="D262" s="119"/>
      <c r="E262" s="125"/>
      <c r="F262" s="125"/>
      <c r="G262" s="131"/>
      <c r="H262" s="131"/>
      <c r="I262" s="131"/>
      <c r="J262" s="126"/>
      <c r="K262" s="108"/>
      <c r="L262" s="108"/>
      <c r="M262" s="108"/>
      <c r="N262" s="108"/>
      <c r="O262" s="111"/>
      <c r="P262" s="108"/>
      <c r="Q262" s="111"/>
      <c r="R262" s="111"/>
      <c r="S262" s="111"/>
      <c r="T262" s="111"/>
      <c r="U262" s="111"/>
    </row>
    <row r="263" spans="2:21">
      <c r="B263" s="123" t="s">
        <v>332</v>
      </c>
      <c r="C263" s="132"/>
      <c r="D263" s="119" t="s">
        <v>331</v>
      </c>
      <c r="E263" s="125"/>
      <c r="F263" s="125"/>
      <c r="G263" s="131"/>
      <c r="H263" s="131"/>
      <c r="I263" s="131"/>
      <c r="J263" s="126"/>
      <c r="K263" s="108"/>
      <c r="L263" s="108"/>
      <c r="M263" s="108"/>
      <c r="N263" s="108"/>
      <c r="O263" s="111"/>
      <c r="P263" s="108"/>
      <c r="Q263" s="111"/>
      <c r="R263" s="111"/>
      <c r="S263" s="111"/>
      <c r="T263" s="111"/>
      <c r="U263" s="111"/>
    </row>
    <row r="264" spans="2:21">
      <c r="B264" s="123"/>
      <c r="C264" s="122"/>
      <c r="D264" s="119" t="s">
        <v>330</v>
      </c>
      <c r="E264" s="125"/>
      <c r="F264" s="125"/>
      <c r="G264" s="125"/>
      <c r="H264" s="125"/>
      <c r="I264" s="125"/>
      <c r="J264" s="124"/>
      <c r="K264" s="108"/>
      <c r="L264" s="108"/>
      <c r="M264" s="108"/>
      <c r="N264" s="108"/>
      <c r="O264" s="111"/>
      <c r="P264" s="108"/>
      <c r="Q264" s="111"/>
      <c r="R264" s="111"/>
      <c r="S264" s="111"/>
      <c r="T264" s="111"/>
      <c r="U264" s="111"/>
    </row>
    <row r="265" spans="2:21">
      <c r="B265" s="121"/>
      <c r="C265" s="120"/>
      <c r="D265" s="119" t="s">
        <v>329</v>
      </c>
      <c r="E265" s="127"/>
      <c r="F265" s="127"/>
      <c r="G265" s="125"/>
      <c r="H265" s="125"/>
      <c r="I265" s="125"/>
      <c r="J265" s="124"/>
      <c r="K265" s="108"/>
      <c r="L265" s="108"/>
      <c r="M265" s="108"/>
      <c r="N265" s="108"/>
      <c r="O265" s="111"/>
      <c r="P265" s="108"/>
      <c r="Q265" s="111"/>
      <c r="R265" s="111"/>
      <c r="S265" s="111"/>
      <c r="T265" s="111"/>
      <c r="U265" s="111"/>
    </row>
    <row r="266" spans="2:21">
      <c r="B266" s="121"/>
      <c r="C266" s="120"/>
      <c r="D266" s="119" t="s">
        <v>328</v>
      </c>
      <c r="E266" s="125"/>
      <c r="F266" s="125"/>
      <c r="G266" s="125"/>
      <c r="H266" s="125"/>
      <c r="I266" s="125"/>
      <c r="J266" s="124"/>
      <c r="K266" s="108"/>
      <c r="L266" s="108"/>
      <c r="M266" s="108"/>
      <c r="N266" s="108"/>
      <c r="O266" s="111"/>
      <c r="P266" s="108"/>
      <c r="Q266" s="111"/>
      <c r="R266" s="111"/>
      <c r="S266" s="111"/>
      <c r="T266" s="111"/>
      <c r="U266" s="111"/>
    </row>
    <row r="267" spans="2:21">
      <c r="B267" s="115"/>
      <c r="C267" s="114"/>
      <c r="D267" s="119" t="s">
        <v>327</v>
      </c>
      <c r="E267" s="125"/>
      <c r="F267" s="125"/>
      <c r="G267" s="125"/>
      <c r="H267" s="125"/>
      <c r="I267" s="125"/>
      <c r="J267" s="124"/>
      <c r="K267" s="108"/>
      <c r="L267" s="108"/>
      <c r="M267" s="108"/>
      <c r="N267" s="108"/>
      <c r="O267" s="111"/>
      <c r="P267" s="108"/>
      <c r="Q267" s="111"/>
      <c r="R267" s="111"/>
      <c r="S267" s="111"/>
      <c r="T267" s="111"/>
      <c r="U267" s="111"/>
    </row>
    <row r="268" spans="2:21" ht="15" customHeight="1">
      <c r="B268" s="115"/>
      <c r="C268" s="114"/>
      <c r="D268" s="119"/>
      <c r="E268" s="125"/>
      <c r="F268" s="125"/>
      <c r="G268" s="125"/>
      <c r="H268" s="125"/>
      <c r="I268" s="125"/>
      <c r="J268" s="124"/>
      <c r="K268" s="108"/>
      <c r="L268" s="108"/>
      <c r="M268" s="108"/>
      <c r="N268" s="108"/>
      <c r="O268" s="111"/>
      <c r="P268" s="108"/>
      <c r="Q268" s="111"/>
      <c r="R268" s="111"/>
      <c r="S268" s="111"/>
      <c r="T268" s="111"/>
      <c r="U268" s="111"/>
    </row>
    <row r="269" spans="2:21">
      <c r="B269" s="115" t="s">
        <v>326</v>
      </c>
      <c r="C269" s="114"/>
      <c r="D269" s="130" t="s">
        <v>325</v>
      </c>
      <c r="E269" s="125"/>
      <c r="F269" s="125"/>
      <c r="G269" s="125"/>
      <c r="H269" s="125"/>
      <c r="I269" s="125"/>
      <c r="J269" s="124"/>
      <c r="K269" s="108"/>
      <c r="L269" s="108"/>
      <c r="M269" s="108"/>
      <c r="N269" s="108"/>
      <c r="O269" s="111"/>
      <c r="P269" s="108"/>
      <c r="Q269" s="111"/>
      <c r="R269" s="111"/>
      <c r="S269" s="111"/>
      <c r="T269" s="111"/>
      <c r="U269" s="111"/>
    </row>
    <row r="270" spans="2:21">
      <c r="B270" s="115"/>
      <c r="C270" s="114"/>
      <c r="D270" s="130"/>
      <c r="E270" s="125"/>
      <c r="F270" s="125"/>
      <c r="G270" s="125"/>
      <c r="H270" s="125"/>
      <c r="I270" s="125"/>
      <c r="J270" s="124"/>
      <c r="K270" s="108"/>
      <c r="L270" s="108"/>
      <c r="M270" s="108"/>
      <c r="N270" s="108"/>
      <c r="O270" s="111"/>
      <c r="P270" s="108"/>
      <c r="Q270" s="111"/>
      <c r="R270" s="111"/>
      <c r="S270" s="111"/>
      <c r="T270" s="111"/>
      <c r="U270" s="111"/>
    </row>
    <row r="271" spans="2:21">
      <c r="B271" s="115" t="s">
        <v>324</v>
      </c>
      <c r="C271" s="114"/>
      <c r="D271" s="129" t="s">
        <v>323</v>
      </c>
      <c r="E271" s="125"/>
      <c r="F271" s="125"/>
      <c r="G271" s="125"/>
      <c r="H271" s="125"/>
      <c r="I271" s="125"/>
      <c r="J271" s="124"/>
      <c r="K271" s="108"/>
      <c r="L271" s="108"/>
      <c r="M271" s="108"/>
      <c r="N271" s="108"/>
      <c r="O271" s="111"/>
      <c r="P271" s="108"/>
      <c r="Q271" s="111"/>
      <c r="R271" s="111"/>
      <c r="S271" s="111"/>
      <c r="T271" s="111"/>
      <c r="U271" s="111"/>
    </row>
    <row r="272" spans="2:21">
      <c r="B272" s="115"/>
      <c r="C272" s="114"/>
      <c r="D272" s="129" t="str">
        <f>"of the trued-up revenue requirement for each project, based on an FCR rate caclulated from inputs on this TCOS. Line "&amp;B35&amp;" shows the incremental ARR for"</f>
        <v>of the trued-up revenue requirement for each project, based on an FCR rate caclulated from inputs on this TCOS. Line 15 shows the incremental ARR for</v>
      </c>
      <c r="E272" s="125"/>
      <c r="F272" s="125"/>
      <c r="G272" s="125"/>
      <c r="H272" s="125"/>
      <c r="I272" s="125"/>
      <c r="J272" s="124"/>
      <c r="K272" s="108"/>
      <c r="L272" s="108"/>
      <c r="M272" s="108"/>
      <c r="N272" s="108"/>
      <c r="O272" s="111"/>
      <c r="P272" s="108"/>
      <c r="Q272" s="111"/>
      <c r="R272" s="111"/>
      <c r="S272" s="111"/>
      <c r="T272" s="111"/>
      <c r="U272" s="111"/>
    </row>
    <row r="273" spans="2:21">
      <c r="B273" s="115"/>
      <c r="C273" s="114"/>
      <c r="D273" s="129" t="s">
        <v>322</v>
      </c>
      <c r="E273" s="125"/>
      <c r="F273" s="125"/>
      <c r="G273" s="125"/>
      <c r="H273" s="125"/>
      <c r="I273" s="125"/>
      <c r="J273" s="124"/>
      <c r="K273" s="108"/>
      <c r="L273" s="108"/>
      <c r="M273" s="108"/>
      <c r="N273" s="108"/>
      <c r="O273" s="111"/>
      <c r="P273" s="108"/>
      <c r="Q273" s="119"/>
      <c r="R273" s="111"/>
      <c r="S273" s="111"/>
      <c r="T273" s="111"/>
      <c r="U273" s="111"/>
    </row>
    <row r="274" spans="2:21">
      <c r="B274" s="115"/>
      <c r="C274" s="114"/>
      <c r="D274" s="129"/>
      <c r="E274" s="125"/>
      <c r="F274" s="125"/>
      <c r="G274" s="125"/>
      <c r="H274" s="125"/>
      <c r="I274" s="125"/>
      <c r="J274" s="124"/>
      <c r="K274" s="108"/>
      <c r="L274" s="108"/>
      <c r="M274" s="108"/>
      <c r="N274" s="108"/>
      <c r="O274" s="111"/>
      <c r="P274" s="108"/>
      <c r="Q274" s="119"/>
      <c r="R274" s="111"/>
      <c r="S274" s="111"/>
      <c r="T274" s="111"/>
      <c r="U274" s="111"/>
    </row>
    <row r="275" spans="2:21">
      <c r="B275" s="115" t="s">
        <v>321</v>
      </c>
      <c r="C275" s="114"/>
      <c r="D275" s="473" t="s">
        <v>320</v>
      </c>
      <c r="E275" s="474"/>
      <c r="F275" s="474"/>
      <c r="G275" s="474"/>
      <c r="H275" s="474"/>
      <c r="I275" s="474"/>
      <c r="J275" s="474"/>
      <c r="K275" s="108"/>
      <c r="L275" s="108"/>
      <c r="M275" s="108"/>
      <c r="N275" s="108"/>
      <c r="O275" s="111"/>
      <c r="P275" s="108"/>
      <c r="Q275" s="119"/>
      <c r="R275" s="111"/>
      <c r="S275" s="111"/>
      <c r="T275" s="111"/>
      <c r="U275" s="111"/>
    </row>
    <row r="276" spans="2:21">
      <c r="B276" s="115"/>
      <c r="C276" s="114"/>
      <c r="D276" s="474"/>
      <c r="E276" s="474"/>
      <c r="F276" s="474"/>
      <c r="G276" s="474"/>
      <c r="H276" s="474"/>
      <c r="I276" s="474"/>
      <c r="J276" s="474"/>
      <c r="K276" s="108"/>
      <c r="L276" s="108"/>
      <c r="M276" s="108"/>
      <c r="N276" s="108"/>
      <c r="O276" s="111"/>
      <c r="P276" s="108"/>
      <c r="Q276" s="111"/>
      <c r="R276" s="111"/>
      <c r="S276" s="111"/>
      <c r="T276" s="111"/>
      <c r="U276" s="111"/>
    </row>
    <row r="277" spans="2:21">
      <c r="B277" s="115"/>
      <c r="C277" s="114"/>
      <c r="E277" s="125"/>
      <c r="F277" s="125"/>
      <c r="G277" s="125"/>
      <c r="H277" s="125"/>
      <c r="I277" s="125"/>
      <c r="J277" s="124"/>
      <c r="K277" s="108"/>
      <c r="L277" s="108"/>
      <c r="M277" s="108"/>
      <c r="N277" s="108"/>
      <c r="O277" s="111"/>
      <c r="P277" s="108"/>
      <c r="Q277" s="111"/>
      <c r="R277" s="111"/>
      <c r="S277" s="111"/>
      <c r="T277" s="111"/>
      <c r="U277" s="111"/>
    </row>
    <row r="278" spans="2:21">
      <c r="B278" s="115" t="s">
        <v>319</v>
      </c>
      <c r="C278" s="114"/>
      <c r="D278" s="119" t="s">
        <v>318</v>
      </c>
      <c r="E278" s="125"/>
      <c r="F278" s="125"/>
      <c r="G278" s="125"/>
      <c r="H278" s="125"/>
      <c r="I278" s="125"/>
      <c r="J278" s="124"/>
      <c r="K278" s="108"/>
      <c r="L278" s="108"/>
      <c r="M278" s="108"/>
      <c r="N278" s="108"/>
      <c r="O278" s="111"/>
      <c r="P278" s="108"/>
      <c r="Q278" s="111"/>
      <c r="R278" s="111"/>
      <c r="S278" s="111"/>
      <c r="T278" s="111"/>
      <c r="U278" s="111"/>
    </row>
    <row r="279" spans="2:21">
      <c r="B279" s="115"/>
      <c r="C279" s="114"/>
      <c r="D279" s="119" t="s">
        <v>317</v>
      </c>
      <c r="E279" s="125"/>
      <c r="F279" s="125"/>
      <c r="G279" s="125"/>
      <c r="H279" s="125"/>
      <c r="I279" s="125"/>
      <c r="J279" s="124"/>
      <c r="K279" s="108"/>
      <c r="L279" s="108"/>
      <c r="M279" s="108"/>
      <c r="N279" s="108"/>
      <c r="O279" s="111"/>
      <c r="P279" s="108"/>
      <c r="Q279" s="111"/>
      <c r="R279" s="111"/>
      <c r="S279" s="111"/>
      <c r="T279" s="111"/>
      <c r="U279" s="111"/>
    </row>
    <row r="280" spans="2:21">
      <c r="C280" s="114"/>
      <c r="D280" s="119" t="s">
        <v>316</v>
      </c>
      <c r="E280" s="125"/>
      <c r="F280" s="125"/>
      <c r="G280" s="125"/>
      <c r="H280" s="125"/>
      <c r="I280" s="125"/>
      <c r="J280" s="124"/>
      <c r="K280" s="108"/>
      <c r="L280" s="108"/>
      <c r="M280" s="108"/>
      <c r="N280" s="108"/>
      <c r="O280" s="111"/>
      <c r="P280" s="108"/>
      <c r="Q280" s="111"/>
      <c r="R280" s="111"/>
      <c r="S280" s="111"/>
      <c r="T280" s="111"/>
      <c r="U280" s="111"/>
    </row>
    <row r="281" spans="2:21">
      <c r="B281" s="115"/>
      <c r="C281" s="114"/>
      <c r="D281" s="119" t="s">
        <v>315</v>
      </c>
      <c r="E281" s="125"/>
      <c r="F281" s="125"/>
      <c r="G281" s="125"/>
      <c r="H281" s="125"/>
      <c r="I281" s="125"/>
      <c r="J281" s="124"/>
      <c r="K281" s="108"/>
      <c r="L281" s="108"/>
      <c r="M281" s="108"/>
      <c r="N281" s="108"/>
      <c r="O281" s="111"/>
      <c r="P281" s="108"/>
      <c r="Q281" s="111"/>
      <c r="R281" s="111"/>
      <c r="S281" s="111"/>
      <c r="T281" s="111"/>
      <c r="U281" s="111"/>
    </row>
    <row r="282" spans="2:21">
      <c r="B282" s="115"/>
      <c r="C282" s="114"/>
      <c r="D282" s="119"/>
      <c r="E282" s="125"/>
      <c r="F282" s="125"/>
      <c r="G282" s="125"/>
      <c r="H282" s="125"/>
      <c r="I282" s="125"/>
      <c r="J282" s="124"/>
      <c r="K282" s="108"/>
      <c r="L282" s="108"/>
      <c r="M282" s="108"/>
      <c r="N282" s="108"/>
      <c r="O282" s="111"/>
      <c r="P282" s="108"/>
      <c r="Q282" s="111"/>
      <c r="R282" s="111"/>
      <c r="S282" s="111"/>
      <c r="T282" s="111"/>
      <c r="U282" s="111"/>
    </row>
    <row r="283" spans="2:21">
      <c r="B283" s="115" t="s">
        <v>314</v>
      </c>
      <c r="C283" s="114"/>
      <c r="D283" s="119" t="s">
        <v>313</v>
      </c>
      <c r="E283" s="125"/>
      <c r="F283" s="125"/>
      <c r="G283" s="125"/>
      <c r="H283" s="125"/>
      <c r="I283" s="125"/>
      <c r="J283" s="124"/>
      <c r="K283" s="108"/>
      <c r="L283" s="108"/>
      <c r="M283" s="108"/>
      <c r="N283" s="108"/>
      <c r="O283" s="111"/>
      <c r="P283" s="108"/>
      <c r="Q283" s="111"/>
      <c r="R283" s="111"/>
      <c r="S283" s="111"/>
      <c r="T283" s="111"/>
      <c r="U283" s="111"/>
    </row>
    <row r="284" spans="2:21">
      <c r="B284" s="115"/>
      <c r="C284" s="114"/>
      <c r="D284" s="119"/>
      <c r="E284" s="125"/>
      <c r="F284" s="125"/>
      <c r="G284" s="125"/>
      <c r="H284" s="125"/>
      <c r="I284" s="125"/>
      <c r="J284" s="124"/>
      <c r="K284" s="108"/>
      <c r="L284" s="108"/>
      <c r="M284" s="108"/>
      <c r="N284" s="108"/>
      <c r="O284" s="111"/>
      <c r="P284" s="108"/>
      <c r="Q284" s="111"/>
      <c r="R284" s="111"/>
      <c r="S284" s="111"/>
      <c r="T284" s="111"/>
      <c r="U284" s="111"/>
    </row>
    <row r="285" spans="2:21">
      <c r="B285" s="115" t="s">
        <v>312</v>
      </c>
      <c r="C285" s="114"/>
      <c r="D285" s="119" t="str">
        <f>"Cash Working Capital assigned to transmission is one-eighth of O&amp;M allocated to transmission on line "&amp;B130&amp;"."</f>
        <v>Cash Working Capital assigned to transmission is one-eighth of O&amp;M allocated to transmission on line 68.</v>
      </c>
      <c r="E285" s="125"/>
      <c r="F285" s="125"/>
      <c r="G285" s="125"/>
      <c r="H285" s="125"/>
      <c r="I285" s="125"/>
      <c r="J285" s="124"/>
      <c r="K285" s="108"/>
      <c r="L285" s="108"/>
      <c r="M285" s="108"/>
      <c r="N285" s="108"/>
      <c r="O285" s="111"/>
      <c r="P285" s="108"/>
      <c r="Q285" s="111"/>
      <c r="R285" s="111"/>
      <c r="S285" s="111"/>
      <c r="T285" s="111"/>
      <c r="U285" s="111"/>
    </row>
    <row r="286" spans="2:21">
      <c r="B286" s="115"/>
      <c r="C286" s="114"/>
      <c r="D286" s="119"/>
      <c r="E286" s="125"/>
      <c r="F286" s="125"/>
      <c r="G286" s="125"/>
      <c r="H286" s="125"/>
      <c r="I286" s="125"/>
      <c r="J286" s="124"/>
      <c r="K286" s="108"/>
      <c r="L286" s="108"/>
      <c r="M286" s="108"/>
      <c r="N286" s="108"/>
      <c r="O286" s="111"/>
      <c r="P286" s="108"/>
      <c r="Q286" s="111"/>
      <c r="R286" s="111"/>
      <c r="S286" s="111"/>
      <c r="T286" s="111"/>
      <c r="U286" s="111"/>
    </row>
    <row r="287" spans="2:21">
      <c r="B287" s="123" t="s">
        <v>311</v>
      </c>
      <c r="C287" s="122"/>
      <c r="D287" s="120" t="str">
        <f>"Consistent with Paragraph 657 of Order 2003-A, the amount on line "&amp;B109&amp;" is equal to the balance of IPP System Upgrade Credits owed to transmission customers that"</f>
        <v>Consistent with Paragraph 657 of Order 2003-A, the amount on line 62 is equal to the balance of IPP System Upgrade Credits owed to transmission customers that</v>
      </c>
      <c r="E287" s="120"/>
      <c r="F287" s="120"/>
      <c r="G287" s="120"/>
      <c r="H287" s="120"/>
      <c r="I287" s="120"/>
      <c r="J287" s="126"/>
      <c r="K287" s="108"/>
      <c r="L287" s="108"/>
      <c r="M287" s="108"/>
      <c r="N287" s="108"/>
      <c r="O287" s="111"/>
      <c r="P287" s="108"/>
      <c r="Q287" s="111"/>
      <c r="R287" s="111"/>
      <c r="S287" s="111"/>
      <c r="T287" s="111"/>
      <c r="U287" s="111"/>
    </row>
    <row r="288" spans="2:21">
      <c r="B288" s="121"/>
      <c r="C288" s="120"/>
      <c r="D288" s="120" t="s">
        <v>310</v>
      </c>
      <c r="E288" s="120"/>
      <c r="F288" s="120"/>
      <c r="G288" s="120"/>
      <c r="H288" s="120"/>
      <c r="I288" s="120"/>
      <c r="J288" s="126"/>
      <c r="K288" s="108"/>
      <c r="L288" s="108"/>
      <c r="M288" s="108"/>
      <c r="N288" s="108"/>
      <c r="O288" s="111"/>
      <c r="P288" s="108"/>
      <c r="Q288" s="111"/>
      <c r="R288" s="111"/>
      <c r="S288" s="111"/>
      <c r="T288" s="111"/>
      <c r="U288" s="111"/>
    </row>
    <row r="289" spans="2:21">
      <c r="B289" s="121"/>
      <c r="C289" s="120"/>
      <c r="D289" s="120" t="str">
        <f>"expense is included on line "&amp;B176&amp;"."</f>
        <v>expense is included on line 105.</v>
      </c>
      <c r="E289" s="120"/>
      <c r="F289" s="120"/>
      <c r="G289" s="120"/>
      <c r="H289" s="120"/>
      <c r="I289" s="120"/>
      <c r="J289" s="126"/>
      <c r="K289" s="108"/>
      <c r="L289" s="108"/>
      <c r="M289" s="108"/>
      <c r="N289" s="108"/>
      <c r="O289" s="111"/>
      <c r="P289" s="108"/>
      <c r="Q289" s="111"/>
      <c r="R289" s="111"/>
      <c r="S289" s="111"/>
      <c r="T289" s="111"/>
      <c r="U289" s="111"/>
    </row>
    <row r="290" spans="2:21">
      <c r="B290" s="121"/>
      <c r="C290" s="120"/>
      <c r="D290" s="120"/>
      <c r="E290" s="120"/>
      <c r="F290" s="120"/>
      <c r="G290" s="120"/>
      <c r="H290" s="120"/>
      <c r="I290" s="120"/>
      <c r="J290" s="126"/>
      <c r="K290" s="108"/>
      <c r="L290" s="108"/>
      <c r="M290" s="108"/>
      <c r="N290" s="108"/>
      <c r="O290" s="111"/>
      <c r="P290" s="108"/>
      <c r="Q290" s="111"/>
      <c r="R290" s="111"/>
      <c r="S290" s="111"/>
      <c r="T290" s="111"/>
      <c r="U290" s="111"/>
    </row>
    <row r="291" spans="2:21">
      <c r="B291" s="123" t="s">
        <v>309</v>
      </c>
      <c r="C291" s="120"/>
      <c r="D291" s="119" t="s">
        <v>308</v>
      </c>
      <c r="E291" s="120"/>
      <c r="F291" s="120"/>
      <c r="G291" s="120"/>
      <c r="H291" s="120"/>
      <c r="I291" s="120"/>
      <c r="J291" s="126"/>
      <c r="K291" s="108"/>
      <c r="L291" s="108"/>
      <c r="M291" s="108"/>
      <c r="N291" s="108"/>
      <c r="O291" s="111"/>
      <c r="P291" s="108"/>
      <c r="Q291" s="111"/>
      <c r="R291" s="111"/>
      <c r="S291" s="111"/>
      <c r="T291" s="111"/>
      <c r="U291" s="111"/>
    </row>
    <row r="292" spans="2:21">
      <c r="B292" s="123"/>
      <c r="C292" s="120"/>
      <c r="D292" s="119"/>
      <c r="E292" s="120"/>
      <c r="F292" s="120"/>
      <c r="G292" s="120"/>
      <c r="H292" s="120"/>
      <c r="I292" s="120"/>
      <c r="J292" s="126"/>
      <c r="K292" s="108"/>
      <c r="L292" s="108"/>
      <c r="M292" s="108"/>
      <c r="N292" s="108"/>
      <c r="O292" s="111"/>
      <c r="P292" s="108"/>
      <c r="Q292" s="111"/>
      <c r="R292" s="111"/>
      <c r="S292" s="111"/>
      <c r="T292" s="111"/>
      <c r="U292" s="111"/>
    </row>
    <row r="293" spans="2:21">
      <c r="B293" s="123" t="s">
        <v>307</v>
      </c>
      <c r="C293" s="120"/>
      <c r="D293" s="120" t="s">
        <v>306</v>
      </c>
      <c r="E293" s="120"/>
      <c r="F293" s="120"/>
      <c r="G293" s="120"/>
      <c r="H293" s="120"/>
      <c r="I293" s="120"/>
      <c r="J293" s="126"/>
      <c r="K293" s="108"/>
      <c r="L293" s="108"/>
      <c r="M293" s="108"/>
      <c r="N293" s="108"/>
      <c r="O293" s="111"/>
      <c r="P293" s="108"/>
      <c r="Q293" s="111"/>
      <c r="R293" s="111"/>
      <c r="S293" s="111"/>
      <c r="T293" s="111"/>
      <c r="U293" s="111"/>
    </row>
    <row r="294" spans="2:21">
      <c r="B294" s="123"/>
      <c r="C294" s="120"/>
      <c r="D294" s="120"/>
      <c r="E294" s="120"/>
      <c r="F294" s="120"/>
      <c r="G294" s="120"/>
      <c r="H294" s="120"/>
      <c r="I294" s="120"/>
      <c r="J294" s="126"/>
      <c r="K294" s="108"/>
      <c r="L294" s="108"/>
      <c r="M294" s="108"/>
      <c r="N294" s="108"/>
      <c r="O294" s="111"/>
      <c r="P294" s="108"/>
      <c r="Q294" s="111"/>
      <c r="R294" s="111"/>
      <c r="S294" s="111"/>
      <c r="T294" s="111"/>
      <c r="U294" s="111"/>
    </row>
    <row r="295" spans="2:21">
      <c r="B295" s="115" t="s">
        <v>305</v>
      </c>
      <c r="C295" s="120"/>
      <c r="D295" s="120" t="s">
        <v>304</v>
      </c>
      <c r="E295" s="120"/>
      <c r="F295" s="120"/>
      <c r="G295" s="120"/>
      <c r="H295" s="120"/>
      <c r="I295" s="120"/>
      <c r="J295" s="126"/>
      <c r="K295" s="108"/>
      <c r="L295" s="108"/>
      <c r="M295" s="108"/>
      <c r="N295" s="108"/>
      <c r="O295" s="111"/>
      <c r="P295" s="108"/>
      <c r="Q295" s="111"/>
      <c r="R295" s="111"/>
      <c r="S295" s="111"/>
      <c r="T295" s="111"/>
      <c r="U295" s="111"/>
    </row>
    <row r="296" spans="2:21">
      <c r="B296" s="123"/>
      <c r="C296" s="120"/>
      <c r="D296" s="120"/>
      <c r="E296" s="120"/>
      <c r="F296" s="120"/>
      <c r="G296" s="120"/>
      <c r="H296" s="120"/>
      <c r="I296" s="120"/>
      <c r="J296" s="126"/>
      <c r="K296" s="108"/>
      <c r="L296" s="108"/>
      <c r="M296" s="108"/>
      <c r="N296" s="108"/>
      <c r="O296" s="111"/>
      <c r="P296" s="108"/>
      <c r="Q296" s="111"/>
      <c r="R296" s="111"/>
      <c r="S296" s="111"/>
      <c r="T296" s="111"/>
      <c r="U296" s="111"/>
    </row>
    <row r="297" spans="2:21">
      <c r="B297" s="115" t="s">
        <v>303</v>
      </c>
      <c r="C297" s="114"/>
      <c r="D297" s="119" t="s">
        <v>302</v>
      </c>
      <c r="E297" s="125"/>
      <c r="F297" s="125"/>
      <c r="G297" s="125"/>
      <c r="H297" s="125"/>
      <c r="I297" s="125"/>
      <c r="J297" s="124"/>
      <c r="K297" s="108"/>
      <c r="L297" s="108"/>
      <c r="M297" s="108"/>
      <c r="N297" s="108"/>
      <c r="O297" s="111"/>
      <c r="P297" s="108"/>
      <c r="Q297" s="111"/>
      <c r="R297" s="111"/>
      <c r="S297" s="111"/>
      <c r="T297" s="111"/>
      <c r="U297" s="111"/>
    </row>
    <row r="298" spans="2:21">
      <c r="B298" s="115"/>
      <c r="C298" s="114"/>
      <c r="D298" s="119" t="s">
        <v>301</v>
      </c>
      <c r="E298" s="125"/>
      <c r="F298" s="125"/>
      <c r="G298" s="125"/>
      <c r="H298" s="125"/>
      <c r="I298" s="125"/>
      <c r="J298" s="124"/>
      <c r="K298" s="108"/>
      <c r="L298" s="108"/>
      <c r="M298" s="108"/>
      <c r="N298" s="108"/>
      <c r="O298" s="111"/>
      <c r="P298" s="108"/>
      <c r="Q298" s="111"/>
      <c r="R298" s="111"/>
      <c r="S298" s="111"/>
      <c r="T298" s="111"/>
      <c r="U298" s="111"/>
    </row>
    <row r="299" spans="2:21">
      <c r="B299" s="115"/>
      <c r="C299" s="114"/>
      <c r="D299" s="119" t="s">
        <v>300</v>
      </c>
      <c r="E299" s="125"/>
      <c r="F299" s="125"/>
      <c r="G299" s="125"/>
      <c r="H299" s="125"/>
      <c r="I299" s="125"/>
      <c r="J299" s="124"/>
      <c r="K299" s="108"/>
      <c r="L299" s="108"/>
      <c r="M299" s="108"/>
      <c r="N299" s="108"/>
      <c r="O299" s="111"/>
      <c r="P299" s="108"/>
      <c r="Q299" s="111"/>
      <c r="R299" s="111"/>
      <c r="S299" s="111"/>
      <c r="T299" s="111"/>
      <c r="U299" s="111"/>
    </row>
    <row r="300" spans="2:21">
      <c r="B300" s="115"/>
      <c r="C300" s="114"/>
      <c r="D300" s="120" t="s">
        <v>299</v>
      </c>
      <c r="E300" s="125"/>
      <c r="F300" s="125"/>
      <c r="G300" s="125"/>
      <c r="H300" s="125"/>
      <c r="I300" s="125"/>
      <c r="J300" s="124"/>
      <c r="K300" s="108"/>
      <c r="L300" s="108"/>
      <c r="M300" s="108"/>
      <c r="N300" s="108"/>
      <c r="O300" s="111"/>
      <c r="P300" s="108"/>
      <c r="Q300" s="111"/>
      <c r="R300" s="111"/>
      <c r="S300" s="111"/>
      <c r="T300" s="111"/>
      <c r="U300" s="111"/>
    </row>
    <row r="301" spans="2:21">
      <c r="B301" s="115"/>
      <c r="C301" s="114"/>
      <c r="D301" s="120"/>
      <c r="E301" s="125"/>
      <c r="F301" s="125"/>
      <c r="G301" s="125"/>
      <c r="H301" s="125"/>
      <c r="I301" s="125"/>
      <c r="J301" s="124"/>
      <c r="K301" s="108"/>
      <c r="L301" s="108"/>
      <c r="M301" s="108"/>
      <c r="N301" s="108"/>
      <c r="O301" s="111"/>
      <c r="P301" s="108"/>
      <c r="Q301" s="111"/>
      <c r="R301" s="111"/>
      <c r="S301" s="111"/>
      <c r="T301" s="111"/>
      <c r="U301" s="111"/>
    </row>
    <row r="302" spans="2:21">
      <c r="B302" s="115" t="s">
        <v>298</v>
      </c>
      <c r="C302" s="114"/>
      <c r="D302" s="476" t="s">
        <v>297</v>
      </c>
      <c r="E302" s="474"/>
      <c r="F302" s="474"/>
      <c r="G302" s="474"/>
      <c r="H302" s="474"/>
      <c r="I302" s="474"/>
      <c r="J302" s="474"/>
      <c r="K302" s="108"/>
      <c r="L302" s="108"/>
      <c r="M302" s="108"/>
      <c r="N302" s="108"/>
      <c r="O302" s="111"/>
      <c r="P302" s="108"/>
      <c r="Q302" s="111"/>
      <c r="R302" s="111"/>
      <c r="S302" s="111"/>
      <c r="T302" s="111"/>
      <c r="U302" s="111"/>
    </row>
    <row r="303" spans="2:21">
      <c r="B303" s="115"/>
      <c r="C303" s="114"/>
      <c r="D303" s="120"/>
      <c r="E303" s="125"/>
      <c r="F303" s="125"/>
      <c r="G303" s="125"/>
      <c r="H303" s="125"/>
      <c r="I303" s="125"/>
      <c r="J303" s="124"/>
      <c r="K303" s="108"/>
      <c r="L303" s="108"/>
      <c r="M303" s="108"/>
      <c r="N303" s="108"/>
      <c r="O303" s="111"/>
      <c r="P303" s="108"/>
      <c r="Q303" s="111"/>
      <c r="R303" s="111"/>
      <c r="S303" s="111"/>
      <c r="T303" s="111"/>
      <c r="U303" s="111"/>
    </row>
    <row r="304" spans="2:21">
      <c r="B304" s="128" t="s">
        <v>296</v>
      </c>
      <c r="C304" s="114"/>
      <c r="D304" s="477" t="s">
        <v>295</v>
      </c>
      <c r="E304" s="474"/>
      <c r="F304" s="474"/>
      <c r="G304" s="474"/>
      <c r="H304" s="474"/>
      <c r="I304" s="474"/>
      <c r="J304" s="474"/>
      <c r="K304" s="108"/>
      <c r="L304" s="108"/>
      <c r="M304" s="108"/>
      <c r="N304" s="108"/>
      <c r="O304" s="111"/>
      <c r="P304" s="108"/>
      <c r="Q304" s="111"/>
      <c r="R304" s="111"/>
      <c r="S304" s="111"/>
      <c r="T304" s="111"/>
      <c r="U304" s="111"/>
    </row>
    <row r="305" spans="2:21">
      <c r="B305" s="128"/>
      <c r="C305" s="114"/>
      <c r="D305" s="474"/>
      <c r="E305" s="474"/>
      <c r="F305" s="474"/>
      <c r="G305" s="474"/>
      <c r="H305" s="474"/>
      <c r="I305" s="474"/>
      <c r="J305" s="474"/>
      <c r="K305" s="108"/>
      <c r="L305" s="108"/>
      <c r="M305" s="108"/>
      <c r="N305" s="108"/>
      <c r="O305" s="111"/>
      <c r="P305" s="108"/>
      <c r="Q305" s="111"/>
      <c r="R305" s="111"/>
      <c r="S305" s="111"/>
      <c r="T305" s="111"/>
      <c r="U305" s="111"/>
    </row>
    <row r="306" spans="2:21">
      <c r="B306" s="128"/>
      <c r="C306" s="114"/>
      <c r="D306" s="119"/>
      <c r="E306" s="120"/>
      <c r="F306" s="120"/>
      <c r="G306" s="120"/>
      <c r="H306" s="120"/>
      <c r="I306" s="120"/>
      <c r="J306" s="126"/>
      <c r="K306" s="108"/>
      <c r="L306" s="108"/>
      <c r="M306" s="108"/>
      <c r="N306" s="108"/>
      <c r="O306" s="111"/>
      <c r="P306" s="108"/>
      <c r="Q306" s="111"/>
      <c r="R306" s="111"/>
      <c r="S306" s="111"/>
      <c r="T306" s="111"/>
      <c r="U306" s="111"/>
    </row>
    <row r="307" spans="2:21">
      <c r="B307" s="115" t="s">
        <v>294</v>
      </c>
      <c r="C307" s="114"/>
      <c r="D307" s="119" t="s">
        <v>293</v>
      </c>
      <c r="E307" s="125"/>
      <c r="F307" s="125"/>
      <c r="G307" s="125"/>
      <c r="H307" s="125"/>
      <c r="I307" s="125"/>
      <c r="J307" s="124"/>
      <c r="K307" s="108"/>
      <c r="L307" s="108"/>
      <c r="M307" s="108"/>
      <c r="N307" s="108"/>
      <c r="O307" s="111"/>
      <c r="P307" s="108"/>
      <c r="Q307" s="111"/>
      <c r="R307" s="111"/>
      <c r="S307" s="111"/>
      <c r="T307" s="111"/>
      <c r="U307" s="111"/>
    </row>
    <row r="308" spans="2:21">
      <c r="B308" s="115"/>
      <c r="C308" s="114"/>
      <c r="D308" s="119" t="s">
        <v>292</v>
      </c>
      <c r="E308" s="125"/>
      <c r="F308" s="125"/>
      <c r="G308" s="125"/>
      <c r="H308" s="125"/>
      <c r="I308" s="125"/>
      <c r="J308" s="124"/>
      <c r="K308" s="108"/>
      <c r="L308" s="108"/>
      <c r="M308" s="108"/>
      <c r="N308" s="108"/>
      <c r="O308" s="111"/>
      <c r="P308" s="108"/>
      <c r="Q308" s="111"/>
      <c r="R308" s="111"/>
      <c r="S308" s="111"/>
      <c r="T308" s="111"/>
      <c r="U308" s="111"/>
    </row>
    <row r="309" spans="2:21">
      <c r="B309" s="115"/>
      <c r="C309" s="114"/>
      <c r="D309" s="119" t="s">
        <v>291</v>
      </c>
      <c r="E309" s="125"/>
      <c r="F309" s="125"/>
      <c r="G309" s="125"/>
      <c r="H309" s="125"/>
      <c r="I309" s="125"/>
      <c r="J309" s="124"/>
      <c r="K309" s="108"/>
      <c r="L309" s="108"/>
      <c r="M309" s="108"/>
      <c r="N309" s="108"/>
      <c r="O309" s="111"/>
      <c r="P309" s="108"/>
      <c r="Q309" s="111"/>
      <c r="R309" s="111"/>
      <c r="S309" s="111"/>
      <c r="T309" s="111"/>
      <c r="U309" s="111"/>
    </row>
    <row r="310" spans="2:21">
      <c r="B310" s="115"/>
      <c r="C310" s="114"/>
      <c r="D310" s="119" t="s">
        <v>290</v>
      </c>
      <c r="E310" s="125"/>
      <c r="F310" s="125"/>
      <c r="G310" s="125"/>
      <c r="H310" s="125"/>
      <c r="I310" s="125"/>
      <c r="J310" s="124"/>
      <c r="K310" s="108"/>
      <c r="L310" s="108"/>
      <c r="M310" s="108"/>
      <c r="N310" s="108"/>
      <c r="O310" s="111"/>
      <c r="P310" s="108"/>
      <c r="Q310" s="111"/>
      <c r="R310" s="111"/>
      <c r="S310" s="111"/>
      <c r="T310" s="111"/>
      <c r="U310" s="111"/>
    </row>
    <row r="311" spans="2:21">
      <c r="B311" s="115"/>
      <c r="C311" s="114"/>
      <c r="D311" s="119" t="s">
        <v>289</v>
      </c>
      <c r="E311" s="125"/>
      <c r="F311" s="125"/>
      <c r="G311" s="125"/>
      <c r="H311" s="125"/>
      <c r="I311" s="125"/>
      <c r="J311" s="124"/>
      <c r="K311" s="108"/>
      <c r="L311" s="108"/>
      <c r="M311" s="108"/>
      <c r="N311" s="108"/>
      <c r="O311" s="111"/>
      <c r="P311" s="108"/>
      <c r="Q311" s="111"/>
      <c r="R311" s="111"/>
      <c r="S311" s="111"/>
      <c r="T311" s="111"/>
      <c r="U311" s="111"/>
    </row>
    <row r="312" spans="2:21">
      <c r="B312" s="115"/>
      <c r="C312" s="114"/>
      <c r="D312" s="119" t="str">
        <f>"(ln "&amp;B163&amp;") multiplied by (1/1-T) .  If the applicable tax rates are zero enter 0."</f>
        <v>(ln 95) multiplied by (1/1-T) .  If the applicable tax rates are zero enter 0.</v>
      </c>
      <c r="E312" s="125"/>
      <c r="F312" s="125"/>
      <c r="G312" s="125"/>
      <c r="H312" s="125"/>
      <c r="I312" s="125"/>
      <c r="J312" s="124"/>
      <c r="K312" s="108"/>
      <c r="L312" s="108"/>
      <c r="M312" s="108"/>
      <c r="N312" s="108"/>
      <c r="O312" s="111"/>
      <c r="P312" s="108"/>
      <c r="Q312" s="111"/>
      <c r="R312" s="111"/>
      <c r="S312" s="111"/>
      <c r="T312" s="111"/>
      <c r="U312" s="111"/>
    </row>
    <row r="313" spans="2:21">
      <c r="B313" s="115" t="s">
        <v>288</v>
      </c>
      <c r="C313" s="114"/>
      <c r="D313" s="119" t="s">
        <v>287</v>
      </c>
      <c r="E313" s="125" t="s">
        <v>286</v>
      </c>
      <c r="F313" s="127">
        <f>+'[2]OKT Historic TCOS'!F326</f>
        <v>0.35</v>
      </c>
      <c r="G313" s="125"/>
      <c r="I313" s="125"/>
      <c r="J313" s="124"/>
      <c r="K313" s="108"/>
      <c r="L313" s="108"/>
      <c r="M313" s="108"/>
      <c r="N313" s="108"/>
      <c r="O313" s="111"/>
      <c r="P313" s="108"/>
      <c r="Q313" s="111"/>
      <c r="R313" s="111"/>
      <c r="S313" s="111"/>
      <c r="T313" s="111"/>
      <c r="U313" s="111"/>
    </row>
    <row r="314" spans="2:21">
      <c r="B314" s="115"/>
      <c r="C314" s="114"/>
      <c r="D314" s="119"/>
      <c r="E314" s="125" t="s">
        <v>285</v>
      </c>
      <c r="F314" s="127">
        <f>+'[2]OKT WS K State Taxes'!F18</f>
        <v>5.6599999999999998E-2</v>
      </c>
      <c r="G314" s="125" t="s">
        <v>284</v>
      </c>
      <c r="I314" s="125"/>
      <c r="J314" s="124"/>
      <c r="K314" s="108"/>
      <c r="L314" s="108"/>
      <c r="M314" s="108"/>
      <c r="N314" s="108"/>
      <c r="O314" s="111"/>
      <c r="P314" s="108"/>
      <c r="Q314" s="111"/>
      <c r="R314" s="111"/>
      <c r="S314" s="111"/>
      <c r="T314" s="111"/>
      <c r="U314" s="111"/>
    </row>
    <row r="315" spans="2:21">
      <c r="B315" s="115"/>
      <c r="C315" s="114"/>
      <c r="D315" s="119"/>
      <c r="E315" s="125" t="s">
        <v>283</v>
      </c>
      <c r="F315" s="127">
        <f>+'[2]OKT Historic TCOS'!F328</f>
        <v>0</v>
      </c>
      <c r="G315" s="125" t="s">
        <v>282</v>
      </c>
      <c r="I315" s="125"/>
      <c r="J315" s="124"/>
      <c r="K315" s="108"/>
      <c r="L315" s="108"/>
      <c r="M315" s="108"/>
      <c r="N315" s="108"/>
      <c r="O315" s="111"/>
      <c r="P315" s="108"/>
      <c r="Q315" s="111"/>
      <c r="R315" s="111"/>
      <c r="S315" s="111"/>
      <c r="T315" s="111"/>
      <c r="U315" s="111"/>
    </row>
    <row r="316" spans="2:21">
      <c r="B316" s="115"/>
      <c r="C316" s="114"/>
      <c r="D316" s="119"/>
      <c r="E316" s="125"/>
      <c r="F316" s="127"/>
      <c r="G316" s="125"/>
      <c r="I316" s="125"/>
      <c r="J316" s="124"/>
      <c r="K316" s="108"/>
      <c r="L316" s="108"/>
      <c r="M316" s="108"/>
      <c r="N316" s="108"/>
      <c r="O316" s="111"/>
      <c r="P316" s="108"/>
      <c r="Q316" s="111"/>
      <c r="R316" s="111"/>
      <c r="S316" s="111"/>
      <c r="T316" s="111"/>
      <c r="U316" s="111"/>
    </row>
    <row r="317" spans="2:21">
      <c r="B317" s="115" t="s">
        <v>281</v>
      </c>
      <c r="C317" s="114"/>
      <c r="D317" s="119" t="s">
        <v>280</v>
      </c>
      <c r="E317" s="125"/>
      <c r="F317" s="125"/>
      <c r="G317" s="127"/>
      <c r="H317" s="125"/>
      <c r="I317" s="125"/>
      <c r="J317" s="124"/>
      <c r="K317" s="108"/>
      <c r="L317" s="108"/>
      <c r="M317" s="108"/>
      <c r="N317" s="108"/>
      <c r="O317" s="111"/>
      <c r="P317" s="108"/>
      <c r="Q317" s="111"/>
      <c r="R317" s="111"/>
      <c r="S317" s="111"/>
      <c r="T317" s="111"/>
      <c r="U317" s="111"/>
    </row>
    <row r="318" spans="2:21">
      <c r="B318" s="115"/>
      <c r="C318" s="114"/>
      <c r="D318" s="119" t="s">
        <v>279</v>
      </c>
      <c r="E318" s="125"/>
      <c r="F318" s="125"/>
      <c r="G318" s="127"/>
      <c r="H318" s="125"/>
      <c r="I318" s="125"/>
      <c r="J318" s="124"/>
      <c r="K318" s="108"/>
      <c r="L318" s="108"/>
      <c r="M318" s="108"/>
      <c r="N318" s="108"/>
      <c r="O318" s="111"/>
      <c r="P318" s="108"/>
      <c r="Q318" s="111"/>
      <c r="R318" s="111"/>
      <c r="S318" s="111"/>
      <c r="T318" s="111"/>
      <c r="U318" s="111"/>
    </row>
    <row r="319" spans="2:21">
      <c r="B319" s="115"/>
      <c r="C319" s="114"/>
      <c r="D319" s="119"/>
      <c r="E319" s="125"/>
      <c r="F319" s="125"/>
      <c r="G319" s="127"/>
      <c r="H319" s="125"/>
      <c r="I319" s="125"/>
      <c r="J319" s="124"/>
      <c r="K319" s="108"/>
      <c r="L319" s="108"/>
      <c r="M319" s="108"/>
      <c r="N319" s="108"/>
      <c r="O319" s="111"/>
      <c r="P319" s="108"/>
      <c r="Q319" s="111"/>
      <c r="R319" s="111"/>
      <c r="S319" s="111"/>
      <c r="T319" s="111"/>
      <c r="U319" s="111"/>
    </row>
    <row r="320" spans="2:21">
      <c r="B320" s="115" t="s">
        <v>278</v>
      </c>
      <c r="C320" s="114"/>
      <c r="D320" s="119" t="s">
        <v>277</v>
      </c>
      <c r="E320" s="120"/>
      <c r="F320" s="120"/>
      <c r="G320" s="120"/>
      <c r="H320" s="120"/>
      <c r="I320" s="120"/>
      <c r="J320" s="126"/>
      <c r="K320" s="108"/>
      <c r="L320" s="108"/>
      <c r="M320" s="108"/>
      <c r="N320" s="108"/>
      <c r="O320" s="111"/>
      <c r="P320" s="108"/>
      <c r="Q320" s="111"/>
      <c r="R320" s="111"/>
      <c r="S320" s="111"/>
      <c r="T320" s="111"/>
      <c r="U320" s="111"/>
    </row>
    <row r="321" spans="2:21">
      <c r="B321" s="104"/>
      <c r="D321" s="119"/>
      <c r="E321" s="120"/>
      <c r="F321" s="120"/>
      <c r="G321" s="120"/>
      <c r="H321" s="120"/>
      <c r="I321" s="120"/>
      <c r="J321" s="126"/>
      <c r="K321" s="108"/>
      <c r="L321" s="108"/>
      <c r="M321" s="108"/>
      <c r="N321" s="108"/>
      <c r="O321" s="111"/>
      <c r="P321" s="108"/>
      <c r="Q321" s="111"/>
      <c r="R321" s="111"/>
      <c r="S321" s="111"/>
      <c r="T321" s="111"/>
      <c r="U321" s="111"/>
    </row>
    <row r="322" spans="2:21">
      <c r="B322" s="115" t="s">
        <v>276</v>
      </c>
      <c r="C322" s="114"/>
      <c r="D322" s="119" t="s">
        <v>275</v>
      </c>
      <c r="E322" s="120"/>
      <c r="F322" s="120"/>
      <c r="G322" s="120"/>
      <c r="H322" s="120"/>
      <c r="I322" s="120"/>
      <c r="J322" s="126"/>
      <c r="K322" s="108"/>
      <c r="L322" s="108"/>
      <c r="M322" s="108"/>
      <c r="N322" s="108"/>
      <c r="O322" s="111"/>
      <c r="P322" s="108"/>
      <c r="Q322" s="111"/>
      <c r="R322" s="111"/>
      <c r="S322" s="111"/>
      <c r="T322" s="111"/>
      <c r="U322" s="111"/>
    </row>
    <row r="323" spans="2:21">
      <c r="B323" s="115"/>
      <c r="C323" s="114"/>
      <c r="D323" s="119"/>
      <c r="E323" s="125"/>
      <c r="F323" s="125"/>
      <c r="G323" s="125"/>
      <c r="H323" s="125"/>
      <c r="I323" s="125"/>
      <c r="J323" s="124"/>
      <c r="K323" s="108"/>
      <c r="L323" s="108"/>
      <c r="M323" s="108"/>
      <c r="N323" s="108"/>
      <c r="O323" s="111"/>
      <c r="P323" s="108"/>
      <c r="Q323" s="111"/>
      <c r="R323" s="111"/>
      <c r="S323" s="111"/>
      <c r="T323" s="111"/>
      <c r="U323" s="111"/>
    </row>
    <row r="324" spans="2:21">
      <c r="B324" s="115" t="s">
        <v>274</v>
      </c>
      <c r="C324" s="114"/>
      <c r="D324" s="119" t="s">
        <v>273</v>
      </c>
      <c r="E324" s="125"/>
      <c r="F324" s="125"/>
      <c r="G324" s="125"/>
      <c r="H324" s="125"/>
      <c r="I324" s="125"/>
      <c r="J324" s="124"/>
      <c r="K324" s="108"/>
      <c r="L324" s="108"/>
      <c r="M324" s="108"/>
      <c r="N324" s="108"/>
      <c r="O324" s="111"/>
      <c r="P324" s="108"/>
      <c r="Q324" s="111"/>
      <c r="R324" s="111"/>
      <c r="S324" s="111"/>
      <c r="T324" s="111"/>
      <c r="U324" s="111"/>
    </row>
    <row r="325" spans="2:21">
      <c r="B325" s="115"/>
      <c r="C325" s="114"/>
      <c r="D325" s="119"/>
      <c r="E325" s="125"/>
      <c r="F325" s="125"/>
      <c r="G325" s="125"/>
      <c r="H325" s="125"/>
      <c r="I325" s="125"/>
      <c r="J325" s="124"/>
      <c r="K325" s="108"/>
      <c r="L325" s="108"/>
      <c r="M325" s="108"/>
      <c r="N325" s="108"/>
      <c r="O325" s="111"/>
      <c r="P325" s="108"/>
      <c r="Q325" s="111"/>
      <c r="R325" s="111"/>
      <c r="S325" s="111"/>
      <c r="T325" s="111"/>
      <c r="U325" s="111"/>
    </row>
    <row r="326" spans="2:21">
      <c r="B326" s="123" t="s">
        <v>272</v>
      </c>
      <c r="C326" s="122"/>
      <c r="D326" s="478" t="str">
        <f>"The Capital Structure of "&amp;F7&amp;" will be based on the Capital Structure of PSO until "&amp;F7&amp;" establishes a stand alond capital structure computed on Worksheet M for the Projected TCOS or Worksheet N for the True-up TCOS."</f>
        <v>The Capital Structure of AEP OKLAHOMA TRANSMISSION COMPANY, INC will be based on the Capital Structure of PSO until AEP OKLAHOMA TRANSMISSION COMPANY, INC establishes a stand alond capital structure computed on Worksheet M for the Projected TCOS or Worksheet N for the True-up TCOS.</v>
      </c>
      <c r="E326" s="478"/>
      <c r="F326" s="478"/>
      <c r="G326" s="478"/>
      <c r="H326" s="478"/>
      <c r="I326" s="478"/>
      <c r="J326" s="478"/>
      <c r="K326" s="478"/>
      <c r="L326" s="478"/>
      <c r="M326" s="108"/>
      <c r="N326" s="108"/>
      <c r="O326" s="111"/>
      <c r="P326" s="108"/>
      <c r="Q326" s="111"/>
      <c r="R326" s="111"/>
      <c r="S326" s="111"/>
      <c r="T326" s="111"/>
      <c r="U326" s="111"/>
    </row>
    <row r="327" spans="2:21">
      <c r="B327" s="121"/>
      <c r="C327" s="120"/>
      <c r="D327" s="478"/>
      <c r="E327" s="478"/>
      <c r="F327" s="478"/>
      <c r="G327" s="478"/>
      <c r="H327" s="478"/>
      <c r="I327" s="478"/>
      <c r="J327" s="478"/>
      <c r="K327" s="478"/>
      <c r="L327" s="478"/>
      <c r="M327" s="108"/>
      <c r="N327" s="108"/>
      <c r="O327" s="111"/>
      <c r="P327" s="108"/>
      <c r="Q327" s="111"/>
      <c r="R327" s="111"/>
      <c r="S327" s="111"/>
      <c r="T327" s="111"/>
      <c r="U327" s="111"/>
    </row>
    <row r="328" spans="2:21" ht="15" customHeight="1">
      <c r="B328" s="121"/>
      <c r="C328" s="120"/>
      <c r="D328" s="119" t="str">
        <f>"Long Term Debt cost rate = long-term interest (ln "&amp;B234&amp;") / long term debt (ln "&amp;B244&amp;").  Preferred Stock cost rate = preferred dividends (ln "&amp;B235&amp;") / preferred outstanding (ln "&amp;B245&amp;")."</f>
        <v>Long Term Debt cost rate = long-term interest (ln 139) / long term debt (ln 148).  Preferred Stock cost rate = preferred dividends (ln 140) / preferred outstanding (ln 149).</v>
      </c>
      <c r="M328" s="108"/>
      <c r="O328" s="111"/>
      <c r="Q328" s="111"/>
      <c r="R328" s="111"/>
      <c r="S328" s="111"/>
      <c r="T328" s="111"/>
      <c r="U328" s="111"/>
    </row>
    <row r="329" spans="2:21">
      <c r="B329" s="121"/>
      <c r="C329" s="120"/>
      <c r="D329" s="119" t="str">
        <f>"Common Stock cost rate (ROE) = "&amp;J246*100&amp;"%, the rate accepted by FERC in Docket Nos. ER07-1069 and ER10-355.  It includes an additional 50 basis points for remaining a member of the SPP RTO."</f>
        <v>Common Stock cost rate (ROE) = 11.2%, the rate accepted by FERC in Docket Nos. ER07-1069 and ER10-355.  It includes an additional 50 basis points for remaining a member of the SPP RTO.</v>
      </c>
      <c r="M329" s="108"/>
      <c r="O329" s="111"/>
      <c r="Q329" s="111"/>
      <c r="R329" s="111"/>
      <c r="S329" s="111"/>
      <c r="T329" s="111"/>
      <c r="U329" s="111"/>
    </row>
    <row r="330" spans="2:21">
      <c r="B330" s="121"/>
      <c r="C330" s="120"/>
      <c r="D330" s="119"/>
      <c r="J330" s="118"/>
      <c r="M330" s="108"/>
      <c r="O330" s="111"/>
      <c r="Q330" s="111"/>
      <c r="R330" s="111"/>
      <c r="S330" s="111"/>
      <c r="T330" s="111"/>
      <c r="U330" s="111"/>
    </row>
    <row r="331" spans="2:21" ht="15" customHeight="1">
      <c r="B331" s="117" t="s">
        <v>271</v>
      </c>
      <c r="C331" s="114"/>
      <c r="D331" s="473" t="str">
        <f>"Per Settlement, equity is limited to "&amp;E230*100&amp;"% of "&amp;F7&amp;"'s Capital Structure.  If the percentage of equity exceeds the cap, the excess is included in long term debt in the cap structure. This value can only change via an approved 205 or 206 filing. "</f>
        <v xml:space="preserve">Per Settlement, equity is limited to 50% of AEP OKLAHOMA TRANSMISSION COMPANY, INC's Capital Structure.  If the percentage of equity exceeds the cap, the excess is included in long term debt in the cap structure. This value can only change via an approved 205 or 206 filing. </v>
      </c>
      <c r="E331" s="474"/>
      <c r="F331" s="474"/>
      <c r="G331" s="474"/>
      <c r="H331" s="474"/>
      <c r="I331" s="474"/>
      <c r="J331" s="474"/>
      <c r="K331" s="474"/>
      <c r="L331" s="474"/>
      <c r="M331" s="108"/>
      <c r="N331" s="108"/>
      <c r="O331" s="111"/>
      <c r="P331" s="108"/>
      <c r="Q331" s="111"/>
      <c r="R331" s="111"/>
      <c r="S331" s="111"/>
      <c r="T331" s="111"/>
      <c r="U331" s="111"/>
    </row>
    <row r="332" spans="2:21">
      <c r="B332" s="115"/>
      <c r="C332" s="114"/>
      <c r="D332" s="474"/>
      <c r="E332" s="474"/>
      <c r="F332" s="474"/>
      <c r="G332" s="474"/>
      <c r="H332" s="474"/>
      <c r="I332" s="474"/>
      <c r="J332" s="474"/>
      <c r="K332" s="474"/>
      <c r="L332" s="474"/>
      <c r="M332" s="108"/>
      <c r="N332" s="108"/>
      <c r="O332" s="111"/>
      <c r="P332" s="108"/>
      <c r="Q332" s="111"/>
      <c r="R332" s="111"/>
      <c r="S332" s="111"/>
      <c r="T332" s="111"/>
      <c r="U332" s="111"/>
    </row>
    <row r="333" spans="2:21">
      <c r="B333" s="115"/>
      <c r="C333" s="114"/>
      <c r="M333" s="108"/>
      <c r="O333" s="111"/>
      <c r="Q333" s="111"/>
      <c r="R333" s="111"/>
      <c r="S333" s="111"/>
      <c r="T333" s="111"/>
      <c r="U333" s="111"/>
    </row>
    <row r="334" spans="2:21">
      <c r="B334" s="115"/>
      <c r="C334" s="114"/>
      <c r="M334" s="108"/>
      <c r="O334" s="111"/>
      <c r="Q334" s="111"/>
      <c r="R334" s="111"/>
      <c r="S334" s="111"/>
      <c r="T334" s="111"/>
      <c r="U334" s="111"/>
    </row>
    <row r="335" spans="2:21">
      <c r="B335" s="115"/>
      <c r="C335" s="114"/>
      <c r="M335" s="108"/>
      <c r="O335" s="111"/>
      <c r="Q335" s="111"/>
      <c r="R335" s="111"/>
      <c r="S335" s="111"/>
      <c r="T335" s="111"/>
      <c r="U335" s="111"/>
    </row>
    <row r="336" spans="2:21">
      <c r="B336" s="116"/>
      <c r="C336" s="116"/>
      <c r="D336" s="116"/>
      <c r="E336" s="116"/>
      <c r="F336" s="116"/>
      <c r="G336" s="116"/>
      <c r="H336" s="116"/>
      <c r="M336" s="108"/>
      <c r="O336" s="111"/>
      <c r="Q336" s="111"/>
      <c r="R336" s="111"/>
      <c r="S336" s="111"/>
      <c r="T336" s="111"/>
      <c r="U336" s="111"/>
    </row>
    <row r="337" spans="2:21">
      <c r="B337" s="108"/>
      <c r="C337" s="108"/>
      <c r="D337" s="108"/>
      <c r="E337" s="108"/>
      <c r="F337" s="108"/>
      <c r="G337" s="108"/>
      <c r="H337" s="108"/>
      <c r="M337" s="108"/>
      <c r="O337" s="111"/>
      <c r="Q337" s="111"/>
      <c r="R337" s="111"/>
      <c r="S337" s="111"/>
      <c r="T337" s="111"/>
      <c r="U337" s="111"/>
    </row>
    <row r="338" spans="2:21">
      <c r="B338" s="108"/>
      <c r="C338" s="108"/>
      <c r="M338" s="108"/>
      <c r="O338" s="111"/>
      <c r="Q338" s="111"/>
      <c r="R338" s="111"/>
      <c r="S338" s="111"/>
      <c r="T338" s="111"/>
      <c r="U338" s="111"/>
    </row>
    <row r="339" spans="2:21">
      <c r="B339" s="108"/>
      <c r="C339" s="108"/>
      <c r="M339" s="108"/>
      <c r="O339" s="111"/>
      <c r="Q339" s="111"/>
      <c r="R339" s="111"/>
      <c r="S339" s="111"/>
      <c r="T339" s="111"/>
      <c r="U339" s="111"/>
    </row>
    <row r="340" spans="2:21">
      <c r="B340" s="108"/>
      <c r="C340" s="108"/>
      <c r="D340" s="108"/>
      <c r="E340" s="108"/>
      <c r="F340" s="108"/>
      <c r="G340" s="108"/>
      <c r="H340" s="108"/>
      <c r="M340" s="108"/>
      <c r="O340" s="111"/>
      <c r="Q340" s="111"/>
      <c r="R340" s="111"/>
      <c r="S340" s="111"/>
      <c r="T340" s="111"/>
      <c r="U340" s="111"/>
    </row>
    <row r="341" spans="2:21">
      <c r="B341" s="108"/>
      <c r="C341" s="108"/>
      <c r="D341" s="108"/>
      <c r="E341" s="108"/>
      <c r="F341" s="108"/>
      <c r="G341" s="108"/>
      <c r="H341" s="108"/>
      <c r="M341" s="108"/>
      <c r="O341" s="111"/>
      <c r="Q341" s="111"/>
      <c r="R341" s="111"/>
      <c r="S341" s="111"/>
      <c r="T341" s="111"/>
      <c r="U341" s="111"/>
    </row>
    <row r="342" spans="2:21">
      <c r="B342" s="108"/>
      <c r="C342" s="108"/>
      <c r="D342" s="108"/>
      <c r="E342" s="108"/>
      <c r="F342" s="108"/>
      <c r="G342" s="108"/>
      <c r="H342" s="108"/>
      <c r="M342" s="108"/>
      <c r="O342" s="111"/>
      <c r="Q342" s="111"/>
      <c r="R342" s="111"/>
      <c r="S342" s="111"/>
      <c r="T342" s="111"/>
      <c r="U342" s="111"/>
    </row>
    <row r="343" spans="2:21">
      <c r="B343" s="108"/>
      <c r="C343" s="108"/>
      <c r="D343" s="108"/>
      <c r="E343" s="108"/>
      <c r="F343" s="108"/>
      <c r="G343" s="108"/>
      <c r="H343" s="108"/>
      <c r="M343" s="108"/>
      <c r="O343" s="111"/>
      <c r="Q343" s="111"/>
      <c r="R343" s="111"/>
      <c r="S343" s="111"/>
      <c r="T343" s="111"/>
      <c r="U343" s="111"/>
    </row>
    <row r="344" spans="2:21">
      <c r="B344" s="108"/>
      <c r="C344" s="108"/>
      <c r="D344" s="108"/>
      <c r="E344" s="108"/>
      <c r="F344" s="108"/>
      <c r="G344" s="108"/>
      <c r="H344" s="108"/>
      <c r="M344" s="108"/>
      <c r="O344" s="111"/>
      <c r="Q344" s="111"/>
      <c r="R344" s="111"/>
      <c r="S344" s="111"/>
      <c r="T344" s="111"/>
      <c r="U344" s="111"/>
    </row>
    <row r="345" spans="2:21">
      <c r="B345" s="108"/>
      <c r="C345" s="108"/>
      <c r="D345" s="108"/>
      <c r="E345" s="108"/>
      <c r="F345" s="108"/>
      <c r="G345" s="108"/>
      <c r="H345" s="108"/>
      <c r="M345" s="108"/>
      <c r="O345" s="111"/>
      <c r="Q345" s="111"/>
      <c r="R345" s="111"/>
      <c r="S345" s="111"/>
      <c r="T345" s="111"/>
      <c r="U345" s="111"/>
    </row>
    <row r="346" spans="2:21">
      <c r="B346" s="108"/>
      <c r="C346" s="108"/>
      <c r="D346" s="108"/>
      <c r="E346" s="108"/>
      <c r="F346" s="108"/>
      <c r="G346" s="108"/>
      <c r="H346" s="108"/>
      <c r="M346" s="108"/>
      <c r="O346" s="111"/>
      <c r="Q346" s="111"/>
      <c r="R346" s="111"/>
      <c r="S346" s="111"/>
      <c r="T346" s="111"/>
      <c r="U346" s="111"/>
    </row>
    <row r="347" spans="2:21">
      <c r="B347" s="115"/>
      <c r="C347" s="114"/>
      <c r="M347" s="108"/>
      <c r="O347" s="111"/>
      <c r="Q347" s="111"/>
      <c r="R347" s="111"/>
      <c r="S347" s="111"/>
      <c r="T347" s="111"/>
      <c r="U347" s="111"/>
    </row>
    <row r="348" spans="2:21">
      <c r="B348" s="104"/>
      <c r="M348" s="108"/>
      <c r="O348" s="111"/>
      <c r="Q348" s="111"/>
      <c r="R348" s="111"/>
      <c r="S348" s="111"/>
      <c r="T348" s="111"/>
      <c r="U348" s="111"/>
    </row>
    <row r="349" spans="2:21">
      <c r="B349" s="104"/>
      <c r="M349" s="108"/>
      <c r="O349" s="111"/>
      <c r="Q349" s="111"/>
      <c r="R349" s="111"/>
      <c r="S349" s="111"/>
      <c r="T349" s="111"/>
      <c r="U349" s="111"/>
    </row>
    <row r="350" spans="2:21">
      <c r="B350" s="104"/>
      <c r="M350" s="108"/>
      <c r="O350" s="111"/>
      <c r="Q350" s="111"/>
      <c r="R350" s="111"/>
      <c r="S350" s="111"/>
      <c r="T350" s="111"/>
      <c r="U350" s="111"/>
    </row>
    <row r="351" spans="2:21">
      <c r="B351" s="104"/>
      <c r="H351" s="111"/>
      <c r="I351" s="111"/>
      <c r="J351" s="111"/>
      <c r="K351" s="111"/>
      <c r="L351" s="111"/>
      <c r="M351" s="108"/>
      <c r="N351" s="111"/>
      <c r="O351" s="111"/>
      <c r="P351" s="111"/>
      <c r="Q351" s="111"/>
      <c r="R351" s="111"/>
      <c r="S351" s="111"/>
      <c r="T351" s="111"/>
      <c r="U351" s="111"/>
    </row>
    <row r="352" spans="2:21">
      <c r="B352" s="104"/>
      <c r="H352" s="111"/>
      <c r="K352" s="111"/>
      <c r="L352" s="111"/>
      <c r="M352" s="108"/>
      <c r="N352" s="111"/>
      <c r="O352" s="111"/>
      <c r="P352" s="111"/>
      <c r="Q352" s="111"/>
      <c r="R352" s="111"/>
      <c r="S352" s="111"/>
      <c r="T352" s="111"/>
      <c r="U352" s="111"/>
    </row>
    <row r="353" spans="2:21">
      <c r="B353" s="104"/>
      <c r="H353" s="111"/>
      <c r="I353" s="111" t="s">
        <v>270</v>
      </c>
      <c r="J353" s="109"/>
      <c r="K353" s="111"/>
      <c r="L353" s="111"/>
      <c r="M353" s="108"/>
      <c r="N353" s="111"/>
      <c r="O353" s="111"/>
      <c r="P353" s="111"/>
      <c r="Q353" s="111"/>
      <c r="R353" s="111"/>
      <c r="S353" s="111"/>
      <c r="T353" s="111"/>
      <c r="U353" s="111"/>
    </row>
    <row r="354" spans="2:21">
      <c r="B354" s="104"/>
      <c r="H354" s="111"/>
      <c r="I354" s="110" t="s">
        <v>269</v>
      </c>
      <c r="J354" s="109">
        <v>1</v>
      </c>
      <c r="K354" s="111"/>
      <c r="L354" s="111"/>
      <c r="M354" s="108"/>
      <c r="N354" s="111"/>
      <c r="O354" s="111"/>
      <c r="P354" s="111"/>
      <c r="Q354" s="111"/>
      <c r="R354" s="111"/>
      <c r="S354" s="111"/>
      <c r="T354" s="111"/>
      <c r="U354" s="111"/>
    </row>
    <row r="355" spans="2:21">
      <c r="B355" s="104"/>
      <c r="H355" s="111"/>
      <c r="I355" s="110" t="s">
        <v>268</v>
      </c>
      <c r="J355" s="109">
        <f>+$J$63</f>
        <v>0.9715016988431936</v>
      </c>
      <c r="K355" s="111"/>
      <c r="L355" s="111"/>
      <c r="M355" s="108"/>
      <c r="N355" s="111"/>
      <c r="O355" s="111"/>
      <c r="P355" s="111"/>
      <c r="Q355" s="111"/>
      <c r="R355" s="111"/>
      <c r="S355" s="111"/>
      <c r="T355" s="111"/>
      <c r="U355" s="111"/>
    </row>
    <row r="356" spans="2:21">
      <c r="B356" s="104"/>
      <c r="H356" s="111"/>
      <c r="I356" s="110" t="s">
        <v>267</v>
      </c>
      <c r="J356" s="109">
        <f>'OKT 2013 True-Up TCOS'!$J$64</f>
        <v>1</v>
      </c>
      <c r="K356" s="111"/>
      <c r="L356" s="111"/>
      <c r="M356" s="108"/>
      <c r="N356" s="111"/>
      <c r="O356" s="111"/>
      <c r="P356" s="111"/>
      <c r="Q356" s="111"/>
      <c r="R356" s="111"/>
      <c r="S356" s="111"/>
      <c r="T356" s="111"/>
      <c r="U356" s="111"/>
    </row>
    <row r="357" spans="2:21">
      <c r="B357" s="112"/>
      <c r="C357" s="111"/>
      <c r="D357" s="111"/>
      <c r="E357" s="111"/>
      <c r="F357" s="111"/>
      <c r="G357" s="111"/>
      <c r="H357" s="111"/>
      <c r="I357" s="110" t="s">
        <v>266</v>
      </c>
      <c r="J357" s="113">
        <v>0</v>
      </c>
      <c r="K357" s="111"/>
      <c r="L357" s="111"/>
      <c r="M357" s="108"/>
      <c r="N357" s="111"/>
      <c r="O357" s="111"/>
      <c r="P357" s="111"/>
      <c r="Q357" s="111"/>
      <c r="R357" s="111"/>
      <c r="S357" s="111"/>
      <c r="T357" s="111"/>
      <c r="U357" s="111"/>
    </row>
    <row r="358" spans="2:21">
      <c r="B358" s="112"/>
      <c r="C358" s="111"/>
      <c r="D358" s="111"/>
      <c r="E358" s="111"/>
      <c r="F358" s="111"/>
      <c r="G358" s="111"/>
      <c r="H358" s="111"/>
      <c r="I358" s="110" t="s">
        <v>265</v>
      </c>
      <c r="J358" s="109">
        <f>$J$83</f>
        <v>0.97105161615326185</v>
      </c>
      <c r="K358" s="111"/>
      <c r="L358" s="111"/>
      <c r="M358" s="108"/>
      <c r="N358" s="111"/>
      <c r="O358" s="111"/>
      <c r="P358" s="111"/>
      <c r="Q358" s="111"/>
      <c r="R358" s="111"/>
      <c r="S358" s="111"/>
      <c r="T358" s="111"/>
      <c r="U358" s="111"/>
    </row>
    <row r="359" spans="2:21">
      <c r="B359" s="112"/>
      <c r="C359" s="111"/>
      <c r="D359" s="111"/>
      <c r="E359" s="111"/>
      <c r="F359" s="111"/>
      <c r="G359" s="111"/>
      <c r="H359" s="111"/>
      <c r="I359" s="110" t="s">
        <v>264</v>
      </c>
      <c r="J359" s="109">
        <f>$L$201</f>
        <v>0.9715016988431936</v>
      </c>
      <c r="K359" s="111"/>
      <c r="L359" s="111"/>
      <c r="M359" s="108"/>
      <c r="N359" s="111"/>
      <c r="O359" s="111"/>
      <c r="P359" s="111"/>
      <c r="Q359" s="111"/>
      <c r="R359" s="111"/>
      <c r="S359" s="111"/>
      <c r="T359" s="111"/>
      <c r="U359" s="111"/>
    </row>
    <row r="360" spans="2:21">
      <c r="B360" s="107"/>
      <c r="C360" s="105"/>
      <c r="D360" s="105"/>
      <c r="E360" s="105"/>
      <c r="F360" s="105"/>
      <c r="G360" s="105"/>
      <c r="H360" s="105"/>
      <c r="I360" s="110" t="s">
        <v>263</v>
      </c>
      <c r="J360" s="109">
        <f>$J$68</f>
        <v>1</v>
      </c>
      <c r="K360" s="105"/>
      <c r="L360" s="105"/>
      <c r="M360" s="108"/>
      <c r="N360" s="105"/>
      <c r="P360" s="105"/>
    </row>
    <row r="361" spans="2:21">
      <c r="B361" s="107"/>
      <c r="C361" s="105"/>
      <c r="D361" s="105"/>
      <c r="E361" s="105"/>
      <c r="F361" s="105"/>
      <c r="G361" s="105"/>
      <c r="H361" s="105"/>
      <c r="I361" s="110" t="s">
        <v>262</v>
      </c>
      <c r="J361" s="109">
        <f>$L$211</f>
        <v>0.9715016988431936</v>
      </c>
      <c r="K361" s="105"/>
      <c r="L361" s="105"/>
      <c r="M361" s="108"/>
      <c r="N361" s="105"/>
      <c r="P361" s="105"/>
    </row>
    <row r="362" spans="2:21">
      <c r="B362" s="107"/>
      <c r="C362" s="105"/>
      <c r="D362" s="105"/>
      <c r="E362" s="105"/>
      <c r="F362" s="105"/>
      <c r="G362" s="105"/>
      <c r="H362" s="105"/>
      <c r="I362" s="105"/>
      <c r="J362" s="105"/>
      <c r="K362" s="105"/>
      <c r="L362" s="105"/>
      <c r="M362" s="108"/>
      <c r="N362" s="105"/>
      <c r="P362" s="105"/>
    </row>
    <row r="363" spans="2:21">
      <c r="B363" s="107"/>
      <c r="C363" s="105"/>
      <c r="D363" s="105"/>
      <c r="E363" s="105"/>
      <c r="F363" s="105"/>
      <c r="G363" s="105"/>
      <c r="H363" s="105"/>
      <c r="I363" s="105"/>
      <c r="J363" s="105"/>
      <c r="K363" s="105"/>
      <c r="L363" s="105"/>
      <c r="M363" s="108"/>
      <c r="N363" s="105"/>
      <c r="P363" s="105"/>
    </row>
    <row r="364" spans="2:21">
      <c r="B364" s="107"/>
      <c r="C364" s="105"/>
      <c r="D364" s="105"/>
      <c r="E364" s="105"/>
      <c r="F364" s="105"/>
      <c r="G364" s="105"/>
      <c r="H364" s="105"/>
      <c r="I364" s="105"/>
      <c r="J364" s="105"/>
      <c r="K364" s="105"/>
      <c r="L364" s="105"/>
      <c r="M364" s="108"/>
      <c r="N364" s="105"/>
      <c r="P364" s="105"/>
    </row>
    <row r="365" spans="2:21">
      <c r="B365" s="107"/>
      <c r="C365" s="105"/>
      <c r="D365" s="105"/>
      <c r="E365" s="105"/>
      <c r="F365" s="105"/>
      <c r="G365" s="105"/>
      <c r="H365" s="105"/>
      <c r="I365" s="105"/>
      <c r="J365" s="105"/>
      <c r="K365" s="105"/>
      <c r="L365" s="105"/>
      <c r="M365" s="108"/>
      <c r="N365" s="105"/>
      <c r="P365" s="105"/>
    </row>
    <row r="366" spans="2:21">
      <c r="B366" s="107"/>
      <c r="C366" s="105"/>
      <c r="D366" s="105"/>
      <c r="E366" s="105"/>
      <c r="F366" s="105"/>
      <c r="G366" s="105"/>
      <c r="H366" s="105"/>
      <c r="I366" s="105"/>
      <c r="J366" s="105"/>
      <c r="K366" s="105"/>
      <c r="L366" s="105"/>
      <c r="M366" s="108"/>
      <c r="N366" s="105"/>
      <c r="P366" s="105"/>
    </row>
    <row r="367" spans="2:21">
      <c r="B367" s="107"/>
      <c r="C367" s="105"/>
      <c r="D367" s="105"/>
      <c r="E367" s="105"/>
      <c r="F367" s="105"/>
      <c r="G367" s="105"/>
      <c r="H367" s="105"/>
      <c r="I367" s="105"/>
      <c r="J367" s="105"/>
      <c r="K367" s="105"/>
      <c r="L367" s="105"/>
      <c r="M367" s="108"/>
      <c r="N367" s="105"/>
      <c r="P367" s="105"/>
    </row>
    <row r="368" spans="2:21">
      <c r="B368" s="107"/>
      <c r="C368" s="105"/>
      <c r="D368" s="105"/>
      <c r="E368" s="105"/>
      <c r="F368" s="105"/>
      <c r="G368" s="105"/>
      <c r="H368" s="105"/>
      <c r="I368" s="105"/>
      <c r="J368" s="105"/>
      <c r="K368" s="105"/>
      <c r="L368" s="105"/>
      <c r="M368" s="108"/>
      <c r="N368" s="105"/>
      <c r="P368" s="105"/>
    </row>
    <row r="369" spans="2:16">
      <c r="B369" s="107"/>
      <c r="C369" s="105"/>
      <c r="D369" s="105"/>
      <c r="E369" s="105"/>
      <c r="F369" s="105"/>
      <c r="G369" s="105"/>
      <c r="H369" s="105"/>
      <c r="I369" s="105"/>
      <c r="J369" s="105"/>
      <c r="K369" s="105"/>
      <c r="L369" s="105"/>
      <c r="M369" s="108"/>
      <c r="N369" s="105"/>
      <c r="P369" s="105"/>
    </row>
    <row r="370" spans="2:16">
      <c r="B370" s="107"/>
      <c r="C370" s="105"/>
      <c r="D370" s="105"/>
      <c r="E370" s="105"/>
      <c r="F370" s="105"/>
      <c r="G370" s="105"/>
      <c r="H370" s="105"/>
      <c r="I370" s="105"/>
      <c r="J370" s="105"/>
      <c r="K370" s="105"/>
      <c r="L370" s="105"/>
      <c r="M370" s="108"/>
      <c r="N370" s="105"/>
      <c r="P370" s="105"/>
    </row>
    <row r="371" spans="2:16">
      <c r="B371" s="107"/>
      <c r="C371" s="105"/>
      <c r="D371" s="105"/>
      <c r="E371" s="105"/>
      <c r="F371" s="105"/>
      <c r="G371" s="105"/>
      <c r="H371" s="105"/>
      <c r="I371" s="105"/>
      <c r="J371" s="105"/>
      <c r="K371" s="105"/>
      <c r="L371" s="105"/>
      <c r="M371" s="108"/>
      <c r="N371" s="105"/>
      <c r="P371" s="105"/>
    </row>
    <row r="372" spans="2:16">
      <c r="B372" s="107"/>
      <c r="C372" s="105"/>
      <c r="D372" s="105"/>
      <c r="E372" s="105"/>
      <c r="F372" s="105"/>
      <c r="G372" s="105"/>
      <c r="H372" s="105"/>
      <c r="I372" s="105"/>
      <c r="J372" s="105"/>
      <c r="K372" s="105"/>
      <c r="L372" s="105"/>
      <c r="M372" s="108"/>
      <c r="N372" s="105"/>
      <c r="P372" s="105"/>
    </row>
    <row r="373" spans="2:16">
      <c r="B373" s="107"/>
      <c r="C373" s="105"/>
      <c r="D373" s="105"/>
      <c r="E373" s="105"/>
      <c r="F373" s="105"/>
      <c r="G373" s="105"/>
      <c r="H373" s="105"/>
      <c r="I373" s="105"/>
      <c r="J373" s="105"/>
      <c r="K373" s="105"/>
      <c r="L373" s="105"/>
      <c r="M373" s="108"/>
      <c r="N373" s="105"/>
      <c r="P373" s="105"/>
    </row>
    <row r="374" spans="2:16">
      <c r="B374" s="107"/>
      <c r="C374" s="105"/>
      <c r="D374" s="105"/>
      <c r="E374" s="105"/>
      <c r="F374" s="105"/>
      <c r="G374" s="105"/>
      <c r="H374" s="105"/>
      <c r="I374" s="105"/>
      <c r="J374" s="105"/>
      <c r="K374" s="105"/>
      <c r="L374" s="105"/>
      <c r="M374" s="108"/>
      <c r="N374" s="105"/>
      <c r="P374" s="105"/>
    </row>
    <row r="375" spans="2:16">
      <c r="B375" s="107"/>
      <c r="C375" s="105"/>
      <c r="D375" s="105"/>
      <c r="E375" s="105"/>
      <c r="F375" s="105"/>
      <c r="G375" s="105"/>
      <c r="H375" s="105"/>
      <c r="I375" s="105"/>
      <c r="J375" s="105"/>
      <c r="K375" s="105"/>
      <c r="L375" s="105"/>
      <c r="M375" s="108"/>
      <c r="N375" s="105"/>
      <c r="P375" s="105"/>
    </row>
    <row r="376" spans="2:16">
      <c r="B376" s="107"/>
      <c r="C376" s="105"/>
      <c r="D376" s="105"/>
      <c r="E376" s="105"/>
      <c r="F376" s="105"/>
      <c r="G376" s="105"/>
      <c r="H376" s="105"/>
      <c r="I376" s="105"/>
      <c r="J376" s="105"/>
      <c r="K376" s="105"/>
      <c r="L376" s="105"/>
      <c r="M376" s="108"/>
      <c r="N376" s="105"/>
      <c r="P376" s="105"/>
    </row>
    <row r="377" spans="2:16">
      <c r="B377" s="107"/>
      <c r="C377" s="105"/>
      <c r="D377" s="105"/>
      <c r="E377" s="105"/>
      <c r="F377" s="105"/>
      <c r="G377" s="105"/>
      <c r="H377" s="105"/>
      <c r="I377" s="105"/>
      <c r="J377" s="105"/>
      <c r="K377" s="105"/>
      <c r="L377" s="105"/>
      <c r="M377" s="108"/>
      <c r="N377" s="105"/>
      <c r="P377" s="105"/>
    </row>
    <row r="378" spans="2:16">
      <c r="B378" s="107"/>
      <c r="C378" s="105"/>
      <c r="D378" s="105"/>
      <c r="E378" s="105"/>
      <c r="F378" s="105"/>
      <c r="G378" s="105"/>
      <c r="H378" s="105"/>
      <c r="I378" s="105"/>
      <c r="J378" s="105"/>
      <c r="K378" s="105"/>
      <c r="L378" s="105"/>
      <c r="M378" s="108"/>
      <c r="N378" s="105"/>
      <c r="P378" s="105"/>
    </row>
    <row r="379" spans="2:16">
      <c r="B379" s="107"/>
      <c r="C379" s="105"/>
      <c r="D379" s="105"/>
      <c r="E379" s="105"/>
      <c r="F379" s="105"/>
      <c r="G379" s="105"/>
      <c r="H379" s="105"/>
      <c r="I379" s="105"/>
      <c r="J379" s="105"/>
      <c r="K379" s="105"/>
      <c r="L379" s="105"/>
      <c r="M379" s="108"/>
      <c r="N379" s="105"/>
      <c r="P379" s="105"/>
    </row>
    <row r="380" spans="2:16">
      <c r="B380" s="107"/>
      <c r="C380" s="105"/>
      <c r="D380" s="105"/>
      <c r="E380" s="105"/>
      <c r="F380" s="105"/>
      <c r="G380" s="105"/>
      <c r="H380" s="105"/>
      <c r="I380" s="105"/>
      <c r="J380" s="105"/>
      <c r="K380" s="105"/>
      <c r="L380" s="105"/>
      <c r="M380" s="108"/>
      <c r="N380" s="105"/>
      <c r="P380" s="105"/>
    </row>
    <row r="381" spans="2:16">
      <c r="B381" s="107"/>
      <c r="C381" s="105"/>
      <c r="D381" s="105"/>
      <c r="E381" s="105"/>
      <c r="F381" s="105"/>
      <c r="G381" s="105"/>
      <c r="H381" s="105"/>
      <c r="I381" s="105"/>
      <c r="J381" s="105"/>
      <c r="K381" s="105"/>
      <c r="L381" s="105"/>
      <c r="M381" s="108"/>
      <c r="N381" s="105"/>
      <c r="P381" s="105"/>
    </row>
    <row r="382" spans="2:16">
      <c r="B382" s="107"/>
      <c r="C382" s="105"/>
      <c r="D382" s="105"/>
      <c r="E382" s="105"/>
      <c r="F382" s="105"/>
      <c r="G382" s="105"/>
      <c r="H382" s="105"/>
      <c r="I382" s="105"/>
      <c r="J382" s="105"/>
      <c r="K382" s="105"/>
      <c r="L382" s="105"/>
      <c r="M382" s="108"/>
      <c r="N382" s="105"/>
      <c r="P382" s="105"/>
    </row>
    <row r="383" spans="2:16">
      <c r="B383" s="107"/>
      <c r="C383" s="105"/>
      <c r="D383" s="105"/>
      <c r="E383" s="105"/>
      <c r="F383" s="105"/>
      <c r="G383" s="105"/>
      <c r="H383" s="105"/>
      <c r="I383" s="105"/>
      <c r="J383" s="105"/>
      <c r="K383" s="105"/>
      <c r="L383" s="105"/>
      <c r="M383" s="108"/>
      <c r="N383" s="105"/>
      <c r="P383" s="105"/>
    </row>
    <row r="384" spans="2:16">
      <c r="B384" s="107"/>
      <c r="C384" s="105"/>
      <c r="D384" s="105"/>
      <c r="E384" s="105"/>
      <c r="F384" s="105"/>
      <c r="G384" s="105"/>
      <c r="H384" s="105"/>
      <c r="I384" s="105"/>
      <c r="J384" s="105"/>
      <c r="K384" s="105"/>
      <c r="L384" s="105"/>
      <c r="M384" s="108"/>
      <c r="N384" s="105"/>
      <c r="P384" s="105"/>
    </row>
    <row r="385" spans="2:16">
      <c r="B385" s="107"/>
      <c r="C385" s="105"/>
      <c r="D385" s="105"/>
      <c r="E385" s="105"/>
      <c r="F385" s="105"/>
      <c r="G385" s="105"/>
      <c r="H385" s="105"/>
      <c r="I385" s="105"/>
      <c r="J385" s="105"/>
      <c r="K385" s="105"/>
      <c r="L385" s="105"/>
      <c r="M385" s="108"/>
      <c r="N385" s="105"/>
      <c r="P385" s="105"/>
    </row>
    <row r="386" spans="2:16">
      <c r="B386" s="107"/>
      <c r="C386" s="105"/>
      <c r="D386" s="105"/>
      <c r="E386" s="105"/>
      <c r="F386" s="105"/>
      <c r="G386" s="105"/>
      <c r="H386" s="105"/>
      <c r="I386" s="105"/>
      <c r="J386" s="105"/>
      <c r="K386" s="105"/>
      <c r="L386" s="105"/>
      <c r="M386" s="108"/>
      <c r="N386" s="105"/>
      <c r="P386" s="105"/>
    </row>
    <row r="387" spans="2:16">
      <c r="B387" s="107"/>
      <c r="C387" s="105"/>
      <c r="D387" s="105"/>
      <c r="E387" s="105"/>
      <c r="F387" s="105"/>
      <c r="G387" s="105"/>
      <c r="H387" s="105"/>
      <c r="I387" s="105"/>
      <c r="J387" s="105"/>
      <c r="K387" s="105"/>
      <c r="L387" s="105"/>
      <c r="M387" s="108"/>
      <c r="N387" s="105"/>
      <c r="P387" s="105"/>
    </row>
    <row r="388" spans="2:16">
      <c r="B388" s="107"/>
      <c r="C388" s="105"/>
      <c r="D388" s="105"/>
      <c r="E388" s="105"/>
      <c r="F388" s="105"/>
      <c r="G388" s="105"/>
      <c r="H388" s="105"/>
      <c r="I388" s="105"/>
      <c r="J388" s="105"/>
      <c r="K388" s="105"/>
      <c r="L388" s="105"/>
      <c r="M388" s="108"/>
      <c r="N388" s="105"/>
      <c r="P388" s="105"/>
    </row>
    <row r="389" spans="2:16">
      <c r="B389" s="107"/>
      <c r="C389" s="105"/>
      <c r="D389" s="105"/>
      <c r="E389" s="105"/>
      <c r="F389" s="105"/>
      <c r="G389" s="105"/>
      <c r="H389" s="105"/>
      <c r="I389" s="105"/>
      <c r="J389" s="105"/>
      <c r="K389" s="105"/>
      <c r="L389" s="105"/>
      <c r="M389" s="108"/>
      <c r="N389" s="105"/>
      <c r="P389" s="105"/>
    </row>
    <row r="390" spans="2:16">
      <c r="B390" s="107"/>
      <c r="C390" s="105"/>
      <c r="D390" s="105"/>
      <c r="E390" s="105"/>
      <c r="F390" s="105"/>
      <c r="G390" s="105"/>
      <c r="H390" s="105"/>
      <c r="I390" s="105"/>
      <c r="J390" s="105"/>
      <c r="K390" s="105"/>
      <c r="L390" s="105"/>
      <c r="M390" s="108"/>
      <c r="N390" s="105"/>
      <c r="P390" s="105"/>
    </row>
    <row r="391" spans="2:16">
      <c r="B391" s="107"/>
      <c r="C391" s="105"/>
      <c r="D391" s="105"/>
      <c r="E391" s="105"/>
      <c r="F391" s="105"/>
      <c r="G391" s="105"/>
      <c r="H391" s="105"/>
      <c r="I391" s="105"/>
      <c r="J391" s="105"/>
      <c r="K391" s="105"/>
      <c r="L391" s="105"/>
      <c r="M391" s="108"/>
      <c r="N391" s="105"/>
      <c r="P391" s="105"/>
    </row>
    <row r="392" spans="2:16">
      <c r="B392" s="107"/>
      <c r="C392" s="105"/>
      <c r="D392" s="105"/>
      <c r="E392" s="105"/>
      <c r="F392" s="105"/>
      <c r="G392" s="105"/>
      <c r="H392" s="105"/>
      <c r="I392" s="105"/>
      <c r="J392" s="105"/>
      <c r="K392" s="105"/>
      <c r="L392" s="105"/>
      <c r="M392" s="108"/>
      <c r="N392" s="105"/>
      <c r="P392" s="105"/>
    </row>
    <row r="393" spans="2:16">
      <c r="B393" s="107"/>
      <c r="C393" s="105"/>
      <c r="D393" s="105"/>
      <c r="E393" s="105"/>
      <c r="F393" s="105"/>
      <c r="G393" s="105"/>
      <c r="H393" s="105"/>
      <c r="I393" s="105"/>
      <c r="J393" s="105"/>
      <c r="K393" s="105"/>
      <c r="L393" s="105"/>
      <c r="M393" s="108"/>
      <c r="N393" s="105"/>
      <c r="P393" s="105"/>
    </row>
    <row r="394" spans="2:16">
      <c r="B394" s="107"/>
      <c r="C394" s="105"/>
      <c r="D394" s="105"/>
      <c r="E394" s="105"/>
      <c r="F394" s="105"/>
      <c r="G394" s="105"/>
      <c r="H394" s="105"/>
      <c r="I394" s="105"/>
      <c r="J394" s="105"/>
      <c r="K394" s="105"/>
      <c r="L394" s="105"/>
      <c r="M394" s="108"/>
      <c r="N394" s="105"/>
      <c r="P394" s="105"/>
    </row>
    <row r="395" spans="2:16">
      <c r="B395" s="107"/>
      <c r="C395" s="105"/>
      <c r="D395" s="105"/>
      <c r="E395" s="105"/>
      <c r="F395" s="105"/>
      <c r="G395" s="105"/>
      <c r="H395" s="105"/>
      <c r="I395" s="105"/>
      <c r="J395" s="105"/>
      <c r="K395" s="105"/>
      <c r="L395" s="105"/>
      <c r="M395" s="108"/>
      <c r="N395" s="105"/>
      <c r="P395" s="105"/>
    </row>
    <row r="396" spans="2:16">
      <c r="B396" s="107"/>
      <c r="C396" s="105"/>
      <c r="D396" s="105"/>
      <c r="E396" s="105"/>
      <c r="F396" s="105"/>
      <c r="G396" s="105"/>
      <c r="H396" s="105"/>
      <c r="I396" s="105"/>
      <c r="J396" s="105"/>
      <c r="K396" s="105"/>
      <c r="L396" s="105"/>
      <c r="M396" s="108"/>
      <c r="N396" s="105"/>
      <c r="P396" s="105"/>
    </row>
    <row r="397" spans="2:16">
      <c r="B397" s="107"/>
      <c r="C397" s="105"/>
      <c r="D397" s="105"/>
      <c r="E397" s="105"/>
      <c r="F397" s="105"/>
      <c r="G397" s="105"/>
      <c r="H397" s="105"/>
      <c r="I397" s="105"/>
      <c r="J397" s="105"/>
      <c r="K397" s="105"/>
      <c r="L397" s="105"/>
      <c r="M397" s="108"/>
      <c r="N397" s="105"/>
      <c r="P397" s="105"/>
    </row>
    <row r="398" spans="2:16">
      <c r="B398" s="107"/>
      <c r="C398" s="105"/>
      <c r="D398" s="105"/>
      <c r="E398" s="105"/>
      <c r="F398" s="105"/>
      <c r="G398" s="105"/>
      <c r="H398" s="105"/>
      <c r="I398" s="105"/>
      <c r="J398" s="105"/>
      <c r="K398" s="105"/>
      <c r="L398" s="105"/>
      <c r="M398" s="108"/>
      <c r="N398" s="105"/>
      <c r="P398" s="105"/>
    </row>
    <row r="399" spans="2:16">
      <c r="B399" s="107"/>
      <c r="C399" s="105"/>
      <c r="D399" s="105"/>
      <c r="E399" s="105"/>
      <c r="F399" s="105"/>
      <c r="G399" s="105"/>
      <c r="H399" s="105"/>
      <c r="I399" s="105"/>
      <c r="J399" s="105"/>
      <c r="K399" s="105"/>
      <c r="L399" s="105"/>
      <c r="M399" s="108"/>
      <c r="N399" s="105"/>
      <c r="P399" s="105"/>
    </row>
    <row r="400" spans="2:16">
      <c r="B400" s="107"/>
      <c r="C400" s="105"/>
      <c r="D400" s="105"/>
      <c r="E400" s="105"/>
      <c r="F400" s="105"/>
      <c r="G400" s="105"/>
      <c r="H400" s="105"/>
      <c r="I400" s="105"/>
      <c r="J400" s="105"/>
      <c r="K400" s="105"/>
      <c r="L400" s="105"/>
      <c r="M400" s="108"/>
      <c r="N400" s="105"/>
      <c r="P400" s="105"/>
    </row>
    <row r="401" spans="2:16">
      <c r="B401" s="107"/>
      <c r="C401" s="105"/>
      <c r="D401" s="105"/>
      <c r="E401" s="105"/>
      <c r="F401" s="105"/>
      <c r="G401" s="105"/>
      <c r="H401" s="105"/>
      <c r="I401" s="105"/>
      <c r="J401" s="105"/>
      <c r="K401" s="105"/>
      <c r="L401" s="105"/>
      <c r="M401" s="108"/>
      <c r="N401" s="105"/>
      <c r="P401" s="105"/>
    </row>
    <row r="402" spans="2:16">
      <c r="B402" s="107"/>
      <c r="C402" s="105"/>
      <c r="D402" s="105"/>
      <c r="E402" s="105"/>
      <c r="F402" s="105"/>
      <c r="G402" s="105"/>
      <c r="H402" s="105"/>
      <c r="I402" s="105"/>
      <c r="J402" s="105"/>
      <c r="K402" s="105"/>
      <c r="L402" s="105"/>
      <c r="M402" s="108"/>
      <c r="N402" s="105"/>
      <c r="P402" s="105"/>
    </row>
    <row r="403" spans="2:16">
      <c r="B403" s="107"/>
      <c r="C403" s="105"/>
      <c r="D403" s="105"/>
      <c r="E403" s="105"/>
      <c r="F403" s="105"/>
      <c r="G403" s="105"/>
      <c r="H403" s="105"/>
      <c r="I403" s="105"/>
      <c r="J403" s="105"/>
      <c r="K403" s="105"/>
      <c r="L403" s="105"/>
      <c r="M403" s="108"/>
      <c r="N403" s="105"/>
      <c r="P403" s="105"/>
    </row>
    <row r="404" spans="2:16">
      <c r="B404" s="107"/>
      <c r="C404" s="105"/>
      <c r="D404" s="105"/>
      <c r="E404" s="105"/>
      <c r="F404" s="105"/>
      <c r="G404" s="105"/>
      <c r="H404" s="105"/>
      <c r="I404" s="105"/>
      <c r="J404" s="105"/>
      <c r="K404" s="105"/>
      <c r="L404" s="105"/>
      <c r="M404" s="108"/>
      <c r="N404" s="105"/>
      <c r="P404" s="105"/>
    </row>
    <row r="405" spans="2:16">
      <c r="B405" s="107"/>
      <c r="C405" s="105"/>
      <c r="D405" s="105"/>
      <c r="E405" s="105"/>
      <c r="F405" s="105"/>
      <c r="G405" s="105"/>
      <c r="H405" s="105"/>
      <c r="I405" s="105"/>
      <c r="J405" s="105"/>
      <c r="K405" s="105"/>
      <c r="L405" s="105"/>
      <c r="M405" s="108"/>
      <c r="N405" s="105"/>
      <c r="P405" s="105"/>
    </row>
    <row r="406" spans="2:16">
      <c r="B406" s="107"/>
      <c r="C406" s="105"/>
      <c r="D406" s="105"/>
      <c r="E406" s="105"/>
      <c r="F406" s="105"/>
      <c r="G406" s="105"/>
      <c r="H406" s="105"/>
      <c r="I406" s="105"/>
      <c r="J406" s="105"/>
      <c r="K406" s="105"/>
      <c r="L406" s="105"/>
      <c r="M406" s="108"/>
      <c r="N406" s="105"/>
      <c r="P406" s="105"/>
    </row>
    <row r="407" spans="2:16">
      <c r="B407" s="107"/>
      <c r="C407" s="105"/>
      <c r="D407" s="105"/>
      <c r="E407" s="105"/>
      <c r="F407" s="105"/>
      <c r="G407" s="105"/>
      <c r="H407" s="105"/>
      <c r="I407" s="105"/>
      <c r="J407" s="105"/>
      <c r="K407" s="105"/>
      <c r="L407" s="105"/>
      <c r="M407" s="108"/>
      <c r="N407" s="105"/>
      <c r="P407" s="105"/>
    </row>
    <row r="408" spans="2:16">
      <c r="B408" s="107"/>
      <c r="C408" s="105"/>
      <c r="D408" s="105"/>
      <c r="E408" s="105"/>
      <c r="F408" s="105"/>
      <c r="G408" s="105"/>
      <c r="H408" s="105"/>
      <c r="I408" s="105"/>
      <c r="J408" s="105"/>
      <c r="K408" s="105"/>
      <c r="L408" s="105"/>
      <c r="M408" s="108"/>
      <c r="N408" s="105"/>
      <c r="P408" s="105"/>
    </row>
    <row r="409" spans="2:16">
      <c r="B409" s="107"/>
      <c r="C409" s="105"/>
      <c r="D409" s="105"/>
      <c r="E409" s="105"/>
      <c r="F409" s="105"/>
      <c r="G409" s="105"/>
      <c r="H409" s="105"/>
      <c r="I409" s="105"/>
      <c r="J409" s="105"/>
      <c r="K409" s="105"/>
      <c r="L409" s="105"/>
      <c r="M409" s="108"/>
      <c r="N409" s="105"/>
      <c r="P409" s="105"/>
    </row>
    <row r="410" spans="2:16">
      <c r="B410" s="107"/>
      <c r="C410" s="105"/>
      <c r="D410" s="105"/>
      <c r="E410" s="105"/>
      <c r="F410" s="105"/>
      <c r="G410" s="105"/>
      <c r="H410" s="105"/>
      <c r="I410" s="105"/>
      <c r="J410" s="105"/>
      <c r="K410" s="105"/>
      <c r="L410" s="105"/>
      <c r="M410" s="108"/>
      <c r="N410" s="105"/>
      <c r="P410" s="105"/>
    </row>
    <row r="411" spans="2:16">
      <c r="B411" s="107"/>
      <c r="C411" s="105"/>
      <c r="D411" s="105"/>
      <c r="E411" s="105"/>
      <c r="F411" s="105"/>
      <c r="G411" s="105"/>
      <c r="H411" s="105"/>
      <c r="I411" s="105"/>
      <c r="J411" s="105"/>
      <c r="K411" s="105"/>
      <c r="L411" s="105"/>
      <c r="M411" s="108"/>
      <c r="N411" s="105"/>
      <c r="P411" s="105"/>
    </row>
    <row r="412" spans="2:16">
      <c r="B412" s="107"/>
      <c r="C412" s="105"/>
      <c r="D412" s="105"/>
      <c r="E412" s="105"/>
      <c r="F412" s="105"/>
      <c r="G412" s="105"/>
      <c r="H412" s="105"/>
      <c r="I412" s="105"/>
      <c r="J412" s="105"/>
      <c r="K412" s="105"/>
      <c r="L412" s="105"/>
      <c r="M412" s="108"/>
      <c r="N412" s="105"/>
      <c r="P412" s="105"/>
    </row>
    <row r="413" spans="2:16">
      <c r="B413" s="107"/>
      <c r="C413" s="105"/>
      <c r="D413" s="105"/>
      <c r="E413" s="105"/>
      <c r="F413" s="105"/>
      <c r="G413" s="105"/>
      <c r="H413" s="105"/>
      <c r="I413" s="105"/>
      <c r="J413" s="105"/>
      <c r="K413" s="105"/>
      <c r="L413" s="105"/>
      <c r="M413" s="108"/>
      <c r="N413" s="105"/>
      <c r="P413" s="105"/>
    </row>
    <row r="414" spans="2:16">
      <c r="B414" s="107"/>
      <c r="C414" s="105"/>
      <c r="D414" s="105"/>
      <c r="E414" s="105"/>
      <c r="F414" s="105"/>
      <c r="G414" s="105"/>
      <c r="H414" s="105"/>
      <c r="I414" s="105"/>
      <c r="J414" s="105"/>
      <c r="K414" s="105"/>
      <c r="L414" s="105"/>
      <c r="M414" s="108"/>
      <c r="N414" s="105"/>
      <c r="P414" s="105"/>
    </row>
    <row r="415" spans="2:16">
      <c r="B415" s="107"/>
      <c r="C415" s="105"/>
      <c r="D415" s="105"/>
      <c r="E415" s="105"/>
      <c r="F415" s="105"/>
      <c r="G415" s="105"/>
      <c r="H415" s="105"/>
      <c r="I415" s="105"/>
      <c r="J415" s="105"/>
      <c r="K415" s="105"/>
      <c r="L415" s="105"/>
      <c r="M415" s="108"/>
      <c r="N415" s="105"/>
      <c r="P415" s="105"/>
    </row>
    <row r="416" spans="2:16">
      <c r="B416" s="107"/>
      <c r="C416" s="105"/>
      <c r="D416" s="105"/>
      <c r="E416" s="105"/>
      <c r="F416" s="105"/>
      <c r="G416" s="105"/>
      <c r="H416" s="105"/>
      <c r="I416" s="105"/>
      <c r="J416" s="105"/>
      <c r="K416" s="105"/>
      <c r="L416" s="105"/>
      <c r="M416" s="108"/>
      <c r="N416" s="105"/>
      <c r="P416" s="105"/>
    </row>
    <row r="417" spans="2:16">
      <c r="B417" s="107"/>
      <c r="C417" s="105"/>
      <c r="D417" s="105"/>
      <c r="E417" s="105"/>
      <c r="F417" s="105"/>
      <c r="G417" s="105"/>
      <c r="H417" s="105"/>
      <c r="I417" s="105"/>
      <c r="J417" s="105"/>
      <c r="K417" s="105"/>
      <c r="L417" s="105"/>
      <c r="M417" s="108"/>
      <c r="N417" s="105"/>
      <c r="P417" s="105"/>
    </row>
    <row r="418" spans="2:16">
      <c r="B418" s="107"/>
      <c r="C418" s="105"/>
      <c r="D418" s="105"/>
      <c r="E418" s="105"/>
      <c r="F418" s="105"/>
      <c r="G418" s="105"/>
      <c r="H418" s="105"/>
      <c r="I418" s="105"/>
      <c r="J418" s="105"/>
      <c r="K418" s="105"/>
      <c r="L418" s="105"/>
      <c r="M418" s="108"/>
      <c r="N418" s="105"/>
      <c r="P418" s="105"/>
    </row>
    <row r="419" spans="2:16">
      <c r="B419" s="107"/>
      <c r="C419" s="105"/>
      <c r="D419" s="105"/>
      <c r="E419" s="105"/>
      <c r="F419" s="105"/>
      <c r="G419" s="105"/>
      <c r="H419" s="105"/>
      <c r="I419" s="105"/>
      <c r="J419" s="105"/>
      <c r="K419" s="105"/>
      <c r="L419" s="105"/>
      <c r="M419" s="108"/>
      <c r="N419" s="105"/>
      <c r="P419" s="105"/>
    </row>
    <row r="420" spans="2:16">
      <c r="B420" s="107"/>
      <c r="C420" s="105"/>
      <c r="D420" s="105"/>
      <c r="E420" s="105"/>
      <c r="F420" s="105"/>
      <c r="G420" s="105"/>
      <c r="H420" s="105"/>
      <c r="I420" s="105"/>
      <c r="J420" s="105"/>
      <c r="K420" s="105"/>
      <c r="L420" s="105"/>
      <c r="M420" s="108"/>
      <c r="N420" s="105"/>
      <c r="P420" s="105"/>
    </row>
    <row r="421" spans="2:16">
      <c r="B421" s="107"/>
      <c r="C421" s="105"/>
      <c r="D421" s="105"/>
      <c r="E421" s="105"/>
      <c r="F421" s="105"/>
      <c r="G421" s="105"/>
      <c r="H421" s="105"/>
      <c r="I421" s="105"/>
      <c r="J421" s="105"/>
      <c r="K421" s="105"/>
      <c r="L421" s="105"/>
      <c r="M421" s="108"/>
      <c r="N421" s="105"/>
      <c r="P421" s="105"/>
    </row>
    <row r="422" spans="2:16">
      <c r="B422" s="107"/>
      <c r="C422" s="105"/>
      <c r="D422" s="105"/>
      <c r="E422" s="105"/>
      <c r="F422" s="105"/>
      <c r="G422" s="105"/>
      <c r="H422" s="105"/>
      <c r="I422" s="105"/>
      <c r="J422" s="105"/>
      <c r="K422" s="105"/>
      <c r="L422" s="105"/>
      <c r="M422" s="108"/>
      <c r="N422" s="105"/>
      <c r="P422" s="105"/>
    </row>
    <row r="423" spans="2:16">
      <c r="B423" s="107"/>
      <c r="C423" s="105"/>
      <c r="D423" s="105"/>
      <c r="E423" s="105"/>
      <c r="F423" s="105"/>
      <c r="G423" s="105"/>
      <c r="H423" s="105"/>
      <c r="I423" s="105"/>
      <c r="J423" s="105"/>
      <c r="K423" s="105"/>
      <c r="L423" s="105"/>
      <c r="M423" s="108"/>
      <c r="N423" s="105"/>
      <c r="P423" s="105"/>
    </row>
    <row r="424" spans="2:16">
      <c r="B424" s="107"/>
      <c r="C424" s="105"/>
      <c r="D424" s="105"/>
      <c r="E424" s="105"/>
      <c r="F424" s="105"/>
      <c r="G424" s="105"/>
      <c r="H424" s="105"/>
      <c r="I424" s="105"/>
      <c r="J424" s="105"/>
      <c r="K424" s="105"/>
      <c r="L424" s="105"/>
      <c r="M424" s="108"/>
      <c r="N424" s="105"/>
      <c r="P424" s="105"/>
    </row>
    <row r="425" spans="2:16">
      <c r="B425" s="107"/>
      <c r="C425" s="105"/>
      <c r="D425" s="105"/>
      <c r="E425" s="105"/>
      <c r="F425" s="105"/>
      <c r="G425" s="105"/>
      <c r="H425" s="105"/>
      <c r="I425" s="105"/>
      <c r="J425" s="105"/>
      <c r="K425" s="105"/>
      <c r="L425" s="105"/>
      <c r="M425" s="108"/>
      <c r="N425" s="105"/>
      <c r="P425" s="105"/>
    </row>
    <row r="426" spans="2:16">
      <c r="B426" s="107"/>
      <c r="C426" s="105"/>
      <c r="D426" s="105"/>
      <c r="E426" s="105"/>
      <c r="F426" s="105"/>
      <c r="G426" s="105"/>
      <c r="H426" s="105"/>
      <c r="I426" s="105"/>
      <c r="J426" s="105"/>
      <c r="K426" s="105"/>
      <c r="L426" s="105"/>
      <c r="M426" s="108"/>
      <c r="N426" s="105"/>
      <c r="P426" s="105"/>
    </row>
    <row r="427" spans="2:16">
      <c r="B427" s="107"/>
      <c r="C427" s="105"/>
      <c r="D427" s="105"/>
      <c r="E427" s="105"/>
      <c r="F427" s="105"/>
      <c r="G427" s="105"/>
      <c r="H427" s="105"/>
      <c r="I427" s="105"/>
      <c r="J427" s="105"/>
      <c r="K427" s="105"/>
      <c r="L427" s="105"/>
      <c r="M427" s="108"/>
      <c r="N427" s="105"/>
      <c r="P427" s="105"/>
    </row>
    <row r="428" spans="2:16">
      <c r="B428" s="107"/>
      <c r="C428" s="105"/>
      <c r="D428" s="105"/>
      <c r="E428" s="105"/>
      <c r="F428" s="105"/>
      <c r="G428" s="105"/>
      <c r="H428" s="105"/>
      <c r="I428" s="105"/>
      <c r="J428" s="105"/>
      <c r="K428" s="105"/>
      <c r="L428" s="105"/>
      <c r="M428" s="108"/>
      <c r="N428" s="105"/>
      <c r="P428" s="105"/>
    </row>
    <row r="429" spans="2:16">
      <c r="B429" s="107"/>
      <c r="C429" s="105"/>
      <c r="D429" s="105"/>
      <c r="E429" s="105"/>
      <c r="F429" s="105"/>
      <c r="G429" s="105"/>
      <c r="H429" s="105"/>
      <c r="I429" s="105"/>
      <c r="J429" s="105"/>
      <c r="K429" s="105"/>
      <c r="L429" s="105"/>
      <c r="M429" s="108"/>
      <c r="N429" s="105"/>
      <c r="P429" s="105"/>
    </row>
    <row r="430" spans="2:16">
      <c r="B430" s="107"/>
      <c r="C430" s="105"/>
      <c r="D430" s="105"/>
      <c r="E430" s="105"/>
      <c r="F430" s="105"/>
      <c r="G430" s="105"/>
      <c r="H430" s="105"/>
      <c r="I430" s="105"/>
      <c r="J430" s="105"/>
      <c r="K430" s="105"/>
      <c r="L430" s="105"/>
      <c r="M430" s="108"/>
      <c r="N430" s="105"/>
      <c r="P430" s="105"/>
    </row>
    <row r="431" spans="2:16">
      <c r="B431" s="107"/>
      <c r="C431" s="105"/>
      <c r="D431" s="105"/>
      <c r="E431" s="105"/>
      <c r="F431" s="105"/>
      <c r="G431" s="105"/>
      <c r="H431" s="105"/>
      <c r="I431" s="105"/>
      <c r="J431" s="105"/>
      <c r="K431" s="105"/>
      <c r="L431" s="105"/>
      <c r="M431" s="108"/>
      <c r="N431" s="105"/>
      <c r="P431" s="105"/>
    </row>
    <row r="432" spans="2:16">
      <c r="B432" s="107"/>
      <c r="C432" s="105"/>
      <c r="D432" s="105"/>
      <c r="E432" s="105"/>
      <c r="F432" s="105"/>
      <c r="G432" s="105"/>
      <c r="H432" s="105"/>
      <c r="I432" s="105"/>
      <c r="J432" s="105"/>
      <c r="K432" s="105"/>
      <c r="L432" s="105"/>
      <c r="M432" s="108"/>
      <c r="N432" s="105"/>
      <c r="P432" s="105"/>
    </row>
    <row r="433" spans="2:16">
      <c r="B433" s="107"/>
      <c r="C433" s="105"/>
      <c r="D433" s="105"/>
      <c r="E433" s="105"/>
      <c r="F433" s="105"/>
      <c r="G433" s="105"/>
      <c r="H433" s="105"/>
      <c r="I433" s="105"/>
      <c r="J433" s="105"/>
      <c r="K433" s="105"/>
      <c r="L433" s="105"/>
      <c r="M433" s="108"/>
      <c r="N433" s="105"/>
      <c r="P433" s="105"/>
    </row>
    <row r="434" spans="2:16">
      <c r="B434" s="107"/>
      <c r="C434" s="105"/>
      <c r="D434" s="105"/>
      <c r="E434" s="105"/>
      <c r="F434" s="105"/>
      <c r="G434" s="105"/>
      <c r="H434" s="105"/>
      <c r="I434" s="105"/>
      <c r="J434" s="105"/>
      <c r="K434" s="105"/>
      <c r="L434" s="105"/>
      <c r="M434" s="108"/>
      <c r="N434" s="105"/>
      <c r="P434" s="105"/>
    </row>
    <row r="435" spans="2:16">
      <c r="B435" s="107"/>
      <c r="C435" s="105"/>
      <c r="D435" s="105"/>
      <c r="E435" s="105"/>
      <c r="F435" s="105"/>
      <c r="G435" s="105"/>
      <c r="H435" s="105"/>
      <c r="I435" s="105"/>
      <c r="J435" s="105"/>
      <c r="K435" s="105"/>
      <c r="L435" s="105"/>
      <c r="M435" s="108"/>
      <c r="N435" s="105"/>
      <c r="P435" s="105"/>
    </row>
    <row r="436" spans="2:16">
      <c r="B436" s="107"/>
      <c r="C436" s="105"/>
      <c r="D436" s="105"/>
      <c r="E436" s="105"/>
      <c r="F436" s="105"/>
      <c r="G436" s="105"/>
      <c r="H436" s="105"/>
      <c r="I436" s="105"/>
      <c r="J436" s="105"/>
      <c r="K436" s="105"/>
      <c r="L436" s="105"/>
      <c r="M436" s="108"/>
      <c r="N436" s="105"/>
      <c r="P436" s="105"/>
    </row>
    <row r="437" spans="2:16">
      <c r="B437" s="107"/>
      <c r="C437" s="105"/>
      <c r="D437" s="105"/>
      <c r="E437" s="105"/>
      <c r="F437" s="105"/>
      <c r="G437" s="105"/>
      <c r="H437" s="105"/>
      <c r="I437" s="105"/>
      <c r="J437" s="105"/>
      <c r="K437" s="105"/>
      <c r="L437" s="105"/>
      <c r="M437" s="108"/>
      <c r="N437" s="105"/>
      <c r="P437" s="105"/>
    </row>
    <row r="438" spans="2:16">
      <c r="B438" s="107"/>
      <c r="C438" s="105"/>
      <c r="D438" s="105"/>
      <c r="E438" s="105"/>
      <c r="F438" s="105"/>
      <c r="G438" s="105"/>
      <c r="H438" s="105"/>
      <c r="I438" s="105"/>
      <c r="J438" s="105"/>
      <c r="K438" s="105"/>
      <c r="L438" s="105"/>
      <c r="M438" s="108"/>
      <c r="N438" s="105"/>
      <c r="P438" s="105"/>
    </row>
    <row r="439" spans="2:16">
      <c r="B439" s="107"/>
      <c r="C439" s="105"/>
      <c r="D439" s="105"/>
      <c r="E439" s="105"/>
      <c r="F439" s="105"/>
      <c r="G439" s="105"/>
      <c r="H439" s="105"/>
      <c r="I439" s="105"/>
      <c r="J439" s="105"/>
      <c r="K439" s="105"/>
      <c r="L439" s="105"/>
      <c r="M439" s="108"/>
      <c r="N439" s="105"/>
      <c r="P439" s="105"/>
    </row>
    <row r="440" spans="2:16">
      <c r="B440" s="107"/>
      <c r="C440" s="105"/>
      <c r="D440" s="105"/>
      <c r="E440" s="105"/>
      <c r="F440" s="105"/>
      <c r="G440" s="105"/>
      <c r="H440" s="105"/>
      <c r="I440" s="105"/>
      <c r="J440" s="105"/>
      <c r="K440" s="105"/>
      <c r="L440" s="105"/>
      <c r="M440" s="108"/>
      <c r="N440" s="105"/>
      <c r="P440" s="105"/>
    </row>
    <row r="441" spans="2:16">
      <c r="B441" s="107"/>
      <c r="C441" s="105"/>
      <c r="D441" s="105"/>
      <c r="E441" s="105"/>
      <c r="F441" s="105"/>
      <c r="G441" s="105"/>
      <c r="H441" s="105"/>
      <c r="I441" s="105"/>
      <c r="J441" s="105"/>
      <c r="K441" s="105"/>
      <c r="L441" s="105"/>
      <c r="M441" s="108"/>
      <c r="N441" s="105"/>
      <c r="P441" s="105"/>
    </row>
    <row r="442" spans="2:16">
      <c r="B442" s="107"/>
      <c r="C442" s="105"/>
      <c r="D442" s="105"/>
      <c r="E442" s="105"/>
      <c r="F442" s="105"/>
      <c r="G442" s="105"/>
      <c r="H442" s="105"/>
      <c r="I442" s="105"/>
      <c r="J442" s="105"/>
      <c r="K442" s="105"/>
      <c r="L442" s="105"/>
      <c r="M442" s="108"/>
      <c r="N442" s="105"/>
      <c r="P442" s="105"/>
    </row>
    <row r="443" spans="2:16">
      <c r="B443" s="107"/>
      <c r="C443" s="105"/>
      <c r="D443" s="105"/>
      <c r="E443" s="105"/>
      <c r="F443" s="105"/>
      <c r="G443" s="105"/>
      <c r="H443" s="105"/>
      <c r="I443" s="105"/>
      <c r="J443" s="105"/>
      <c r="K443" s="105"/>
      <c r="L443" s="105"/>
      <c r="M443" s="108"/>
      <c r="N443" s="105"/>
      <c r="P443" s="105"/>
    </row>
    <row r="444" spans="2:16">
      <c r="B444" s="107"/>
      <c r="C444" s="105"/>
      <c r="D444" s="105"/>
      <c r="E444" s="105"/>
      <c r="F444" s="105"/>
      <c r="G444" s="105"/>
      <c r="H444" s="105"/>
      <c r="I444" s="105"/>
      <c r="J444" s="105"/>
      <c r="K444" s="105"/>
      <c r="L444" s="105"/>
      <c r="M444" s="108"/>
      <c r="N444" s="105"/>
      <c r="P444" s="105"/>
    </row>
    <row r="445" spans="2:16">
      <c r="B445" s="107"/>
      <c r="C445" s="105"/>
      <c r="D445" s="105"/>
      <c r="E445" s="105"/>
      <c r="F445" s="105"/>
      <c r="G445" s="105"/>
      <c r="H445" s="105"/>
      <c r="I445" s="105"/>
      <c r="J445" s="105"/>
      <c r="K445" s="105"/>
      <c r="L445" s="105"/>
      <c r="M445" s="108"/>
      <c r="N445" s="105"/>
      <c r="P445" s="105"/>
    </row>
    <row r="446" spans="2:16">
      <c r="B446" s="107"/>
      <c r="C446" s="105"/>
      <c r="D446" s="105"/>
      <c r="E446" s="105"/>
      <c r="F446" s="105"/>
      <c r="G446" s="105"/>
      <c r="H446" s="105"/>
      <c r="I446" s="105"/>
      <c r="J446" s="105"/>
      <c r="K446" s="105"/>
      <c r="L446" s="105"/>
      <c r="M446" s="108"/>
      <c r="N446" s="105"/>
      <c r="P446" s="105"/>
    </row>
    <row r="447" spans="2:16">
      <c r="B447" s="107"/>
      <c r="C447" s="105"/>
      <c r="D447" s="105"/>
      <c r="E447" s="105"/>
      <c r="F447" s="105"/>
      <c r="G447" s="105"/>
      <c r="H447" s="105"/>
      <c r="I447" s="105"/>
      <c r="J447" s="105"/>
      <c r="K447" s="105"/>
      <c r="L447" s="105"/>
      <c r="M447" s="108"/>
      <c r="N447" s="105"/>
      <c r="P447" s="105"/>
    </row>
    <row r="448" spans="2:16">
      <c r="B448" s="107"/>
      <c r="C448" s="105"/>
      <c r="D448" s="105"/>
      <c r="E448" s="105"/>
      <c r="F448" s="105"/>
      <c r="G448" s="105"/>
      <c r="H448" s="105"/>
      <c r="I448" s="105"/>
      <c r="J448" s="105"/>
      <c r="K448" s="105"/>
      <c r="L448" s="105"/>
      <c r="M448" s="108"/>
      <c r="N448" s="105"/>
      <c r="P448" s="105"/>
    </row>
    <row r="449" spans="2:16">
      <c r="B449" s="107"/>
      <c r="C449" s="105"/>
      <c r="D449" s="105"/>
      <c r="E449" s="105"/>
      <c r="F449" s="105"/>
      <c r="G449" s="105"/>
      <c r="H449" s="105"/>
      <c r="I449" s="105"/>
      <c r="J449" s="105"/>
      <c r="K449" s="105"/>
      <c r="L449" s="105"/>
      <c r="M449" s="108"/>
      <c r="N449" s="105"/>
      <c r="P449" s="105"/>
    </row>
    <row r="450" spans="2:16">
      <c r="B450" s="107"/>
      <c r="C450" s="105"/>
      <c r="D450" s="105"/>
      <c r="E450" s="105"/>
      <c r="F450" s="105"/>
      <c r="G450" s="105"/>
      <c r="H450" s="105"/>
      <c r="I450" s="105"/>
      <c r="J450" s="105"/>
      <c r="K450" s="105"/>
      <c r="L450" s="105"/>
      <c r="M450" s="108"/>
      <c r="N450" s="105"/>
      <c r="P450" s="105"/>
    </row>
    <row r="451" spans="2:16">
      <c r="B451" s="107"/>
      <c r="C451" s="105"/>
      <c r="D451" s="105"/>
      <c r="E451" s="105"/>
      <c r="F451" s="105"/>
      <c r="G451" s="105"/>
      <c r="H451" s="105"/>
      <c r="I451" s="105"/>
      <c r="J451" s="105"/>
      <c r="K451" s="105"/>
      <c r="L451" s="105"/>
      <c r="M451" s="108"/>
      <c r="N451" s="105"/>
      <c r="P451" s="105"/>
    </row>
    <row r="452" spans="2:16">
      <c r="B452" s="107"/>
      <c r="C452" s="105"/>
      <c r="D452" s="105"/>
      <c r="E452" s="105"/>
      <c r="F452" s="105"/>
      <c r="G452" s="105"/>
      <c r="H452" s="105"/>
      <c r="I452" s="105"/>
      <c r="J452" s="105"/>
      <c r="K452" s="105"/>
      <c r="L452" s="105"/>
      <c r="M452" s="108"/>
      <c r="N452" s="105"/>
      <c r="P452" s="105"/>
    </row>
    <row r="453" spans="2:16">
      <c r="B453" s="107"/>
      <c r="C453" s="105"/>
      <c r="D453" s="105"/>
      <c r="E453" s="105"/>
      <c r="F453" s="105"/>
      <c r="G453" s="105"/>
      <c r="H453" s="105"/>
      <c r="I453" s="105"/>
      <c r="J453" s="105"/>
      <c r="K453" s="105"/>
      <c r="L453" s="105"/>
      <c r="M453" s="108"/>
      <c r="N453" s="105"/>
      <c r="P453" s="105"/>
    </row>
    <row r="454" spans="2:16">
      <c r="B454" s="107"/>
      <c r="C454" s="105"/>
      <c r="D454" s="105"/>
      <c r="E454" s="105"/>
      <c r="F454" s="105"/>
      <c r="G454" s="105"/>
      <c r="H454" s="105"/>
      <c r="I454" s="105"/>
      <c r="J454" s="105"/>
      <c r="K454" s="105"/>
      <c r="L454" s="105"/>
      <c r="M454" s="108"/>
      <c r="N454" s="105"/>
      <c r="P454" s="105"/>
    </row>
    <row r="455" spans="2:16">
      <c r="B455" s="107"/>
      <c r="C455" s="105"/>
      <c r="D455" s="105"/>
      <c r="E455" s="105"/>
      <c r="F455" s="105"/>
      <c r="G455" s="105"/>
      <c r="H455" s="105"/>
      <c r="I455" s="105"/>
      <c r="J455" s="105"/>
      <c r="K455" s="105"/>
      <c r="L455" s="105"/>
      <c r="M455" s="108"/>
      <c r="N455" s="105"/>
      <c r="P455" s="105"/>
    </row>
    <row r="456" spans="2:16">
      <c r="B456" s="107"/>
      <c r="C456" s="105"/>
      <c r="D456" s="105"/>
      <c r="E456" s="105"/>
      <c r="F456" s="105"/>
      <c r="G456" s="105"/>
      <c r="H456" s="105"/>
      <c r="I456" s="105"/>
      <c r="J456" s="105"/>
      <c r="K456" s="105"/>
      <c r="L456" s="105"/>
      <c r="M456" s="108"/>
      <c r="N456" s="105"/>
      <c r="P456" s="105"/>
    </row>
    <row r="457" spans="2:16">
      <c r="B457" s="107"/>
      <c r="C457" s="105"/>
      <c r="D457" s="105"/>
      <c r="E457" s="105"/>
      <c r="F457" s="105"/>
      <c r="G457" s="105"/>
      <c r="H457" s="105"/>
      <c r="I457" s="105"/>
      <c r="J457" s="105"/>
      <c r="K457" s="105"/>
      <c r="L457" s="105"/>
      <c r="M457" s="108"/>
      <c r="N457" s="105"/>
      <c r="P457" s="105"/>
    </row>
    <row r="458" spans="2:16">
      <c r="B458" s="107"/>
      <c r="C458" s="105"/>
      <c r="D458" s="105"/>
      <c r="E458" s="105"/>
      <c r="F458" s="105"/>
      <c r="G458" s="105"/>
      <c r="H458" s="105"/>
      <c r="I458" s="105"/>
      <c r="J458" s="105"/>
      <c r="K458" s="105"/>
      <c r="L458" s="105"/>
      <c r="M458" s="108"/>
      <c r="N458" s="105"/>
      <c r="P458" s="105"/>
    </row>
    <row r="459" spans="2:16">
      <c r="B459" s="107"/>
      <c r="C459" s="105"/>
      <c r="D459" s="105"/>
      <c r="E459" s="105"/>
      <c r="F459" s="105"/>
      <c r="G459" s="105"/>
      <c r="H459" s="105"/>
      <c r="I459" s="105"/>
      <c r="J459" s="105"/>
      <c r="K459" s="105"/>
      <c r="L459" s="105"/>
      <c r="M459" s="108"/>
      <c r="N459" s="105"/>
      <c r="P459" s="105"/>
    </row>
    <row r="460" spans="2:16">
      <c r="B460" s="107"/>
      <c r="C460" s="105"/>
      <c r="D460" s="105"/>
      <c r="E460" s="105"/>
      <c r="F460" s="105"/>
      <c r="G460" s="105"/>
      <c r="H460" s="105"/>
      <c r="I460" s="105"/>
      <c r="J460" s="105"/>
      <c r="K460" s="105"/>
      <c r="L460" s="105"/>
      <c r="M460" s="108"/>
      <c r="N460" s="105"/>
      <c r="P460" s="105"/>
    </row>
    <row r="461" spans="2:16">
      <c r="B461" s="107"/>
      <c r="C461" s="105"/>
      <c r="D461" s="105"/>
      <c r="E461" s="105"/>
      <c r="F461" s="105"/>
      <c r="G461" s="105"/>
      <c r="H461" s="105"/>
      <c r="I461" s="105"/>
      <c r="J461" s="105"/>
      <c r="K461" s="105"/>
      <c r="L461" s="105"/>
      <c r="M461" s="108"/>
      <c r="N461" s="105"/>
      <c r="P461" s="105"/>
    </row>
    <row r="462" spans="2:16">
      <c r="B462" s="107"/>
      <c r="C462" s="105"/>
      <c r="D462" s="105"/>
      <c r="E462" s="105"/>
      <c r="F462" s="105"/>
      <c r="G462" s="105"/>
      <c r="H462" s="105"/>
      <c r="I462" s="105"/>
      <c r="J462" s="105"/>
      <c r="K462" s="105"/>
      <c r="L462" s="105"/>
      <c r="M462" s="108"/>
      <c r="N462" s="105"/>
      <c r="P462" s="105"/>
    </row>
    <row r="463" spans="2:16">
      <c r="B463" s="107"/>
      <c r="C463" s="105"/>
      <c r="D463" s="105"/>
      <c r="E463" s="105"/>
      <c r="F463" s="105"/>
      <c r="G463" s="105"/>
      <c r="H463" s="105"/>
      <c r="I463" s="105"/>
      <c r="J463" s="105"/>
      <c r="K463" s="105"/>
      <c r="L463" s="105"/>
      <c r="M463" s="108"/>
      <c r="N463" s="105"/>
      <c r="P463" s="105"/>
    </row>
    <row r="464" spans="2:16">
      <c r="B464" s="107"/>
      <c r="C464" s="105"/>
      <c r="D464" s="105"/>
      <c r="E464" s="105"/>
      <c r="F464" s="105"/>
      <c r="G464" s="105"/>
      <c r="H464" s="105"/>
      <c r="I464" s="105"/>
      <c r="J464" s="105"/>
      <c r="K464" s="105"/>
      <c r="L464" s="105"/>
      <c r="M464" s="108"/>
      <c r="N464" s="105"/>
      <c r="P464" s="105"/>
    </row>
    <row r="465" spans="2:16">
      <c r="B465" s="107"/>
      <c r="C465" s="105"/>
      <c r="D465" s="105"/>
      <c r="E465" s="105"/>
      <c r="F465" s="105"/>
      <c r="G465" s="105"/>
      <c r="H465" s="105"/>
      <c r="I465" s="105"/>
      <c r="J465" s="105"/>
      <c r="K465" s="105"/>
      <c r="L465" s="105"/>
      <c r="M465" s="108"/>
      <c r="N465" s="105"/>
      <c r="P465" s="105"/>
    </row>
    <row r="466" spans="2:16">
      <c r="B466" s="107"/>
      <c r="C466" s="105"/>
      <c r="D466" s="105"/>
      <c r="E466" s="105"/>
      <c r="F466" s="105"/>
      <c r="G466" s="105"/>
      <c r="H466" s="105"/>
      <c r="I466" s="105"/>
      <c r="J466" s="105"/>
      <c r="K466" s="105"/>
      <c r="L466" s="105"/>
      <c r="M466" s="108"/>
      <c r="N466" s="105"/>
      <c r="P466" s="105"/>
    </row>
    <row r="467" spans="2:16">
      <c r="B467" s="107"/>
      <c r="C467" s="105"/>
      <c r="D467" s="105"/>
      <c r="E467" s="105"/>
      <c r="F467" s="105"/>
      <c r="G467" s="105"/>
      <c r="H467" s="105"/>
      <c r="I467" s="105"/>
      <c r="J467" s="105"/>
      <c r="K467" s="105"/>
      <c r="L467" s="105"/>
      <c r="M467" s="108"/>
      <c r="N467" s="105"/>
      <c r="P467" s="105"/>
    </row>
    <row r="468" spans="2:16">
      <c r="B468" s="107"/>
      <c r="C468" s="105"/>
      <c r="D468" s="105"/>
      <c r="E468" s="105"/>
      <c r="F468" s="105"/>
      <c r="G468" s="105"/>
      <c r="H468" s="105"/>
      <c r="I468" s="105"/>
      <c r="J468" s="105"/>
      <c r="K468" s="105"/>
      <c r="L468" s="105"/>
      <c r="M468" s="108"/>
      <c r="N468" s="105"/>
      <c r="P468" s="105"/>
    </row>
    <row r="469" spans="2:16">
      <c r="B469" s="107"/>
      <c r="C469" s="105"/>
      <c r="D469" s="105"/>
      <c r="E469" s="105"/>
      <c r="F469" s="105"/>
      <c r="G469" s="105"/>
      <c r="H469" s="105"/>
      <c r="I469" s="105"/>
      <c r="J469" s="105"/>
      <c r="K469" s="105"/>
      <c r="L469" s="105"/>
      <c r="M469" s="108"/>
      <c r="N469" s="105"/>
      <c r="P469" s="105"/>
    </row>
    <row r="470" spans="2:16">
      <c r="B470" s="107"/>
      <c r="C470" s="105"/>
      <c r="D470" s="105"/>
      <c r="E470" s="105"/>
      <c r="F470" s="105"/>
      <c r="G470" s="105"/>
      <c r="H470" s="105"/>
      <c r="I470" s="105"/>
      <c r="J470" s="105"/>
      <c r="K470" s="105"/>
      <c r="L470" s="105"/>
      <c r="M470" s="108"/>
      <c r="N470" s="105"/>
      <c r="P470" s="105"/>
    </row>
    <row r="471" spans="2:16">
      <c r="B471" s="107"/>
      <c r="C471" s="105"/>
      <c r="D471" s="105"/>
      <c r="E471" s="105"/>
      <c r="F471" s="105"/>
      <c r="G471" s="105"/>
      <c r="H471" s="105"/>
      <c r="I471" s="105"/>
      <c r="J471" s="105"/>
      <c r="K471" s="105"/>
      <c r="L471" s="105"/>
      <c r="M471" s="108"/>
      <c r="N471" s="105"/>
      <c r="P471" s="105"/>
    </row>
    <row r="472" spans="2:16">
      <c r="B472" s="107"/>
      <c r="C472" s="105"/>
      <c r="D472" s="105"/>
      <c r="E472" s="105"/>
      <c r="F472" s="105"/>
      <c r="G472" s="105"/>
      <c r="H472" s="105"/>
      <c r="I472" s="105"/>
      <c r="J472" s="105"/>
      <c r="K472" s="105"/>
      <c r="L472" s="105"/>
      <c r="M472" s="108"/>
      <c r="N472" s="105"/>
      <c r="P472" s="105"/>
    </row>
    <row r="473" spans="2:16">
      <c r="B473" s="107"/>
      <c r="C473" s="105"/>
      <c r="D473" s="105"/>
      <c r="E473" s="105"/>
      <c r="F473" s="105"/>
      <c r="G473" s="105"/>
      <c r="H473" s="105"/>
      <c r="I473" s="105"/>
      <c r="J473" s="105"/>
      <c r="K473" s="105"/>
      <c r="L473" s="105"/>
      <c r="M473" s="108"/>
      <c r="N473" s="105"/>
      <c r="P473" s="105"/>
    </row>
    <row r="474" spans="2:16">
      <c r="B474" s="107"/>
      <c r="C474" s="105"/>
      <c r="D474" s="105"/>
      <c r="E474" s="105"/>
      <c r="F474" s="105"/>
      <c r="G474" s="105"/>
      <c r="H474" s="105"/>
      <c r="I474" s="105"/>
      <c r="J474" s="105"/>
      <c r="K474" s="105"/>
      <c r="L474" s="105"/>
      <c r="M474" s="108"/>
      <c r="N474" s="105"/>
      <c r="P474" s="105"/>
    </row>
    <row r="475" spans="2:16">
      <c r="B475" s="107"/>
      <c r="C475" s="105"/>
      <c r="D475" s="105"/>
      <c r="E475" s="105"/>
      <c r="F475" s="105"/>
      <c r="G475" s="105"/>
      <c r="H475" s="105"/>
      <c r="I475" s="105"/>
      <c r="J475" s="105"/>
      <c r="K475" s="105"/>
      <c r="L475" s="105"/>
      <c r="M475" s="108"/>
      <c r="N475" s="105"/>
      <c r="P475" s="105"/>
    </row>
    <row r="476" spans="2:16">
      <c r="B476" s="107"/>
      <c r="C476" s="105"/>
      <c r="D476" s="105"/>
      <c r="E476" s="105"/>
      <c r="F476" s="105"/>
      <c r="G476" s="105"/>
      <c r="H476" s="105"/>
      <c r="I476" s="105"/>
      <c r="J476" s="105"/>
      <c r="K476" s="105"/>
      <c r="L476" s="105"/>
      <c r="M476" s="108"/>
      <c r="N476" s="105"/>
      <c r="P476" s="105"/>
    </row>
    <row r="477" spans="2:16">
      <c r="B477" s="107"/>
      <c r="C477" s="105"/>
      <c r="D477" s="105"/>
      <c r="E477" s="105"/>
      <c r="F477" s="105"/>
      <c r="G477" s="105"/>
      <c r="H477" s="105"/>
      <c r="I477" s="105"/>
      <c r="J477" s="105"/>
      <c r="K477" s="105"/>
      <c r="L477" s="105"/>
      <c r="M477" s="108"/>
      <c r="N477" s="105"/>
      <c r="P477" s="105"/>
    </row>
    <row r="478" spans="2:16">
      <c r="B478" s="107"/>
      <c r="C478" s="105"/>
      <c r="D478" s="105"/>
      <c r="E478" s="105"/>
      <c r="F478" s="105"/>
      <c r="G478" s="105"/>
      <c r="H478" s="105"/>
      <c r="I478" s="105"/>
      <c r="J478" s="105"/>
      <c r="K478" s="105"/>
      <c r="L478" s="105"/>
      <c r="M478" s="108"/>
      <c r="N478" s="105"/>
      <c r="P478" s="105"/>
    </row>
    <row r="479" spans="2:16">
      <c r="B479" s="107"/>
      <c r="C479" s="105"/>
      <c r="D479" s="105"/>
      <c r="E479" s="105"/>
      <c r="F479" s="105"/>
      <c r="G479" s="105"/>
      <c r="H479" s="105"/>
      <c r="I479" s="105"/>
      <c r="J479" s="105"/>
      <c r="K479" s="105"/>
      <c r="L479" s="105"/>
      <c r="M479" s="108"/>
      <c r="N479" s="105"/>
      <c r="P479" s="105"/>
    </row>
    <row r="480" spans="2:16">
      <c r="B480" s="107"/>
      <c r="C480" s="105"/>
      <c r="D480" s="105"/>
      <c r="E480" s="105"/>
      <c r="F480" s="105"/>
      <c r="G480" s="105"/>
      <c r="H480" s="105"/>
      <c r="I480" s="105"/>
      <c r="J480" s="105"/>
      <c r="K480" s="105"/>
      <c r="L480" s="105"/>
      <c r="M480" s="108"/>
      <c r="N480" s="105"/>
      <c r="P480" s="105"/>
    </row>
    <row r="481" spans="2:16">
      <c r="B481" s="107"/>
      <c r="C481" s="105"/>
      <c r="D481" s="105"/>
      <c r="E481" s="105"/>
      <c r="F481" s="105"/>
      <c r="G481" s="105"/>
      <c r="H481" s="105"/>
      <c r="I481" s="105"/>
      <c r="J481" s="105"/>
      <c r="K481" s="105"/>
      <c r="L481" s="105"/>
      <c r="M481" s="108"/>
      <c r="N481" s="105"/>
      <c r="P481" s="105"/>
    </row>
    <row r="482" spans="2:16">
      <c r="B482" s="107"/>
      <c r="C482" s="105"/>
      <c r="D482" s="105"/>
      <c r="E482" s="105"/>
      <c r="F482" s="105"/>
      <c r="G482" s="105"/>
      <c r="H482" s="105"/>
      <c r="I482" s="105"/>
      <c r="J482" s="105"/>
      <c r="K482" s="105"/>
      <c r="L482" s="105"/>
      <c r="M482" s="108"/>
      <c r="N482" s="105"/>
      <c r="P482" s="105"/>
    </row>
    <row r="483" spans="2:16">
      <c r="B483" s="107"/>
      <c r="C483" s="105"/>
      <c r="D483" s="105"/>
      <c r="E483" s="105"/>
      <c r="F483" s="105"/>
      <c r="G483" s="105"/>
      <c r="H483" s="105"/>
      <c r="I483" s="105"/>
      <c r="J483" s="105"/>
      <c r="K483" s="105"/>
      <c r="L483" s="105"/>
      <c r="M483" s="108"/>
      <c r="N483" s="105"/>
      <c r="P483" s="105"/>
    </row>
    <row r="484" spans="2:16">
      <c r="B484" s="107"/>
      <c r="C484" s="105"/>
      <c r="D484" s="105"/>
      <c r="E484" s="105"/>
      <c r="F484" s="105"/>
      <c r="G484" s="105"/>
      <c r="H484" s="105"/>
      <c r="I484" s="105"/>
      <c r="J484" s="105"/>
      <c r="K484" s="105"/>
      <c r="L484" s="105"/>
      <c r="M484" s="108"/>
      <c r="N484" s="105"/>
      <c r="P484" s="105"/>
    </row>
    <row r="485" spans="2:16">
      <c r="B485" s="107"/>
      <c r="C485" s="105"/>
      <c r="D485" s="105"/>
      <c r="E485" s="105"/>
      <c r="F485" s="105"/>
      <c r="G485" s="105"/>
      <c r="H485" s="105"/>
      <c r="I485" s="105"/>
      <c r="J485" s="105"/>
      <c r="K485" s="105"/>
      <c r="L485" s="105"/>
      <c r="M485" s="108"/>
      <c r="N485" s="105"/>
      <c r="P485" s="105"/>
    </row>
    <row r="486" spans="2:16">
      <c r="B486" s="107"/>
      <c r="C486" s="105"/>
      <c r="D486" s="105"/>
      <c r="E486" s="105"/>
      <c r="F486" s="105"/>
      <c r="G486" s="105"/>
      <c r="H486" s="105"/>
      <c r="I486" s="105"/>
      <c r="J486" s="105"/>
      <c r="K486" s="105"/>
      <c r="L486" s="105"/>
      <c r="M486" s="108"/>
      <c r="N486" s="105"/>
      <c r="P486" s="105"/>
    </row>
    <row r="487" spans="2:16">
      <c r="B487" s="107"/>
      <c r="C487" s="105"/>
      <c r="D487" s="105"/>
      <c r="E487" s="105"/>
      <c r="F487" s="105"/>
      <c r="G487" s="105"/>
      <c r="H487" s="105"/>
      <c r="I487" s="105"/>
      <c r="J487" s="105"/>
      <c r="K487" s="105"/>
      <c r="L487" s="105"/>
      <c r="M487" s="108"/>
      <c r="N487" s="105"/>
      <c r="P487" s="105"/>
    </row>
    <row r="488" spans="2:16">
      <c r="B488" s="107"/>
      <c r="C488" s="105"/>
      <c r="D488" s="105"/>
      <c r="E488" s="105"/>
      <c r="F488" s="105"/>
      <c r="G488" s="105"/>
      <c r="H488" s="105"/>
      <c r="I488" s="105"/>
      <c r="J488" s="105"/>
      <c r="K488" s="105"/>
      <c r="L488" s="105"/>
      <c r="M488" s="108"/>
      <c r="N488" s="105"/>
      <c r="P488" s="105"/>
    </row>
    <row r="489" spans="2:16">
      <c r="B489" s="107"/>
      <c r="C489" s="105"/>
      <c r="D489" s="105"/>
      <c r="E489" s="105"/>
      <c r="F489" s="105"/>
      <c r="G489" s="105"/>
      <c r="H489" s="105"/>
      <c r="I489" s="105"/>
      <c r="J489" s="105"/>
      <c r="K489" s="105"/>
      <c r="L489" s="105"/>
      <c r="M489" s="108"/>
      <c r="N489" s="105"/>
      <c r="P489" s="105"/>
    </row>
    <row r="490" spans="2:16">
      <c r="B490" s="107"/>
      <c r="C490" s="105"/>
      <c r="D490" s="105"/>
      <c r="E490" s="105"/>
      <c r="F490" s="105"/>
      <c r="G490" s="105"/>
      <c r="H490" s="105"/>
      <c r="I490" s="105"/>
      <c r="J490" s="105"/>
      <c r="K490" s="105"/>
      <c r="L490" s="105"/>
      <c r="M490" s="108"/>
      <c r="N490" s="105"/>
      <c r="P490" s="105"/>
    </row>
    <row r="491" spans="2:16">
      <c r="B491" s="107"/>
      <c r="C491" s="105"/>
      <c r="D491" s="105"/>
      <c r="E491" s="105"/>
      <c r="F491" s="105"/>
      <c r="G491" s="105"/>
      <c r="H491" s="105"/>
      <c r="I491" s="105"/>
      <c r="J491" s="105"/>
      <c r="K491" s="105"/>
      <c r="L491" s="105"/>
      <c r="M491" s="108"/>
      <c r="N491" s="105"/>
      <c r="P491" s="105"/>
    </row>
    <row r="492" spans="2:16">
      <c r="B492" s="107"/>
      <c r="C492" s="105"/>
      <c r="D492" s="105"/>
      <c r="E492" s="105"/>
      <c r="F492" s="105"/>
      <c r="G492" s="105"/>
      <c r="H492" s="105"/>
      <c r="I492" s="105"/>
      <c r="J492" s="105"/>
      <c r="K492" s="105"/>
      <c r="L492" s="105"/>
      <c r="M492" s="108"/>
      <c r="N492" s="105"/>
      <c r="P492" s="105"/>
    </row>
    <row r="493" spans="2:16">
      <c r="B493" s="107"/>
      <c r="C493" s="105"/>
      <c r="D493" s="105"/>
      <c r="E493" s="105"/>
      <c r="F493" s="105"/>
      <c r="G493" s="105"/>
      <c r="H493" s="105"/>
      <c r="I493" s="105"/>
      <c r="J493" s="105"/>
      <c r="K493" s="105"/>
      <c r="L493" s="105"/>
      <c r="M493" s="108"/>
      <c r="N493" s="105"/>
      <c r="P493" s="105"/>
    </row>
    <row r="494" spans="2:16">
      <c r="B494" s="107"/>
      <c r="C494" s="105"/>
      <c r="D494" s="105"/>
      <c r="E494" s="105"/>
      <c r="F494" s="105"/>
      <c r="G494" s="105"/>
      <c r="H494" s="105"/>
      <c r="I494" s="105"/>
      <c r="J494" s="105"/>
      <c r="K494" s="105"/>
      <c r="L494" s="105"/>
      <c r="M494" s="108"/>
      <c r="N494" s="105"/>
      <c r="P494" s="105"/>
    </row>
    <row r="495" spans="2:16">
      <c r="B495" s="107"/>
      <c r="C495" s="105"/>
      <c r="D495" s="105"/>
      <c r="E495" s="105"/>
      <c r="F495" s="105"/>
      <c r="G495" s="105"/>
      <c r="H495" s="105"/>
      <c r="I495" s="105"/>
      <c r="J495" s="105"/>
      <c r="K495" s="105"/>
      <c r="L495" s="105"/>
      <c r="M495" s="108"/>
      <c r="N495" s="105"/>
      <c r="P495" s="105"/>
    </row>
    <row r="496" spans="2:16">
      <c r="B496" s="107"/>
      <c r="C496" s="105"/>
      <c r="D496" s="105"/>
      <c r="E496" s="105"/>
      <c r="F496" s="105"/>
      <c r="G496" s="105"/>
      <c r="H496" s="105"/>
      <c r="I496" s="105"/>
      <c r="J496" s="105"/>
      <c r="K496" s="105"/>
      <c r="L496" s="105"/>
      <c r="M496" s="108"/>
      <c r="N496" s="105"/>
      <c r="P496" s="105"/>
    </row>
    <row r="497" spans="2:16">
      <c r="B497" s="107"/>
      <c r="C497" s="105"/>
      <c r="D497" s="105"/>
      <c r="E497" s="105"/>
      <c r="F497" s="105"/>
      <c r="G497" s="105"/>
      <c r="H497" s="105"/>
      <c r="I497" s="105"/>
      <c r="J497" s="105"/>
      <c r="K497" s="105"/>
      <c r="L497" s="105"/>
      <c r="M497" s="108"/>
      <c r="N497" s="105"/>
      <c r="P497" s="105"/>
    </row>
    <row r="498" spans="2:16">
      <c r="B498" s="107"/>
      <c r="C498" s="105"/>
      <c r="D498" s="105"/>
      <c r="E498" s="105"/>
      <c r="F498" s="105"/>
      <c r="G498" s="105"/>
      <c r="H498" s="105"/>
      <c r="I498" s="105"/>
      <c r="J498" s="105"/>
      <c r="K498" s="105"/>
      <c r="L498" s="105"/>
      <c r="M498" s="108"/>
      <c r="N498" s="105"/>
      <c r="P498" s="105"/>
    </row>
    <row r="499" spans="2:16">
      <c r="B499" s="107"/>
      <c r="C499" s="105"/>
      <c r="D499" s="105"/>
      <c r="E499" s="105"/>
      <c r="F499" s="105"/>
      <c r="G499" s="105"/>
      <c r="H499" s="105"/>
      <c r="I499" s="105"/>
      <c r="J499" s="105"/>
      <c r="K499" s="105"/>
      <c r="L499" s="105"/>
      <c r="M499" s="108"/>
      <c r="N499" s="105"/>
      <c r="P499" s="105"/>
    </row>
    <row r="500" spans="2:16">
      <c r="B500" s="107"/>
      <c r="C500" s="105"/>
      <c r="D500" s="105"/>
      <c r="E500" s="105"/>
      <c r="F500" s="105"/>
      <c r="G500" s="105"/>
      <c r="H500" s="105"/>
      <c r="I500" s="105"/>
      <c r="J500" s="105"/>
      <c r="K500" s="105"/>
      <c r="L500" s="105"/>
      <c r="M500" s="108"/>
      <c r="N500" s="105"/>
      <c r="P500" s="105"/>
    </row>
    <row r="501" spans="2:16">
      <c r="B501" s="107"/>
      <c r="C501" s="105"/>
      <c r="D501" s="105"/>
      <c r="E501" s="105"/>
      <c r="F501" s="105"/>
      <c r="G501" s="105"/>
      <c r="H501" s="105"/>
      <c r="I501" s="105"/>
      <c r="J501" s="105"/>
      <c r="K501" s="105"/>
      <c r="L501" s="105"/>
      <c r="M501" s="108"/>
      <c r="N501" s="105"/>
      <c r="P501" s="105"/>
    </row>
    <row r="502" spans="2:16">
      <c r="B502" s="107"/>
      <c r="C502" s="105"/>
      <c r="D502" s="105"/>
      <c r="E502" s="105"/>
      <c r="F502" s="105"/>
      <c r="G502" s="105"/>
      <c r="H502" s="105"/>
      <c r="I502" s="105"/>
      <c r="J502" s="105"/>
      <c r="K502" s="105"/>
      <c r="L502" s="105"/>
      <c r="M502" s="108"/>
      <c r="N502" s="105"/>
      <c r="P502" s="105"/>
    </row>
    <row r="503" spans="2:16">
      <c r="B503" s="107"/>
      <c r="C503" s="105"/>
      <c r="D503" s="105"/>
      <c r="E503" s="105"/>
      <c r="F503" s="105"/>
      <c r="G503" s="105"/>
      <c r="H503" s="105"/>
      <c r="I503" s="105"/>
      <c r="J503" s="105"/>
      <c r="K503" s="105"/>
      <c r="L503" s="105"/>
      <c r="M503" s="108"/>
      <c r="N503" s="105"/>
      <c r="P503" s="105"/>
    </row>
    <row r="504" spans="2:16">
      <c r="B504" s="107"/>
      <c r="C504" s="105"/>
      <c r="D504" s="105"/>
      <c r="E504" s="105"/>
      <c r="F504" s="105"/>
      <c r="G504" s="105"/>
      <c r="H504" s="105"/>
      <c r="I504" s="105"/>
      <c r="J504" s="105"/>
      <c r="K504" s="105"/>
      <c r="L504" s="105"/>
      <c r="M504" s="108"/>
      <c r="N504" s="105"/>
      <c r="P504" s="105"/>
    </row>
    <row r="505" spans="2:16">
      <c r="B505" s="107"/>
      <c r="C505" s="105"/>
      <c r="D505" s="105"/>
      <c r="E505" s="105"/>
      <c r="F505" s="105"/>
      <c r="G505" s="105"/>
      <c r="H505" s="105"/>
      <c r="I505" s="105"/>
      <c r="J505" s="105"/>
      <c r="K505" s="105"/>
      <c r="L505" s="105"/>
      <c r="M505" s="108"/>
      <c r="N505" s="105"/>
      <c r="P505" s="105"/>
    </row>
    <row r="506" spans="2:16">
      <c r="B506" s="107"/>
      <c r="C506" s="105"/>
      <c r="D506" s="105"/>
      <c r="E506" s="105"/>
      <c r="F506" s="105"/>
      <c r="G506" s="105"/>
      <c r="H506" s="105"/>
      <c r="I506" s="105"/>
      <c r="J506" s="105"/>
      <c r="K506" s="105"/>
      <c r="L506" s="105"/>
      <c r="M506" s="108"/>
      <c r="N506" s="105"/>
      <c r="P506" s="105"/>
    </row>
    <row r="507" spans="2:16">
      <c r="B507" s="107"/>
      <c r="C507" s="105"/>
      <c r="D507" s="105"/>
      <c r="E507" s="105"/>
      <c r="F507" s="105"/>
      <c r="G507" s="105"/>
      <c r="H507" s="105"/>
      <c r="I507" s="105"/>
      <c r="J507" s="105"/>
      <c r="K507" s="105"/>
      <c r="L507" s="105"/>
      <c r="M507" s="108"/>
      <c r="N507" s="105"/>
      <c r="P507" s="105"/>
    </row>
    <row r="508" spans="2:16">
      <c r="B508" s="107"/>
      <c r="C508" s="105"/>
      <c r="D508" s="105"/>
      <c r="E508" s="105"/>
      <c r="F508" s="105"/>
      <c r="G508" s="105"/>
      <c r="H508" s="105"/>
      <c r="I508" s="105"/>
      <c r="J508" s="105"/>
      <c r="K508" s="105"/>
      <c r="L508" s="105"/>
      <c r="M508" s="108"/>
      <c r="N508" s="105"/>
      <c r="P508" s="105"/>
    </row>
    <row r="509" spans="2:16">
      <c r="B509" s="107"/>
      <c r="C509" s="105"/>
      <c r="D509" s="105"/>
      <c r="E509" s="105"/>
      <c r="F509" s="105"/>
      <c r="G509" s="105"/>
      <c r="H509" s="105"/>
      <c r="I509" s="105"/>
      <c r="J509" s="105"/>
      <c r="K509" s="105"/>
      <c r="L509" s="105"/>
      <c r="M509" s="108"/>
      <c r="N509" s="105"/>
      <c r="P509" s="105"/>
    </row>
    <row r="510" spans="2:16">
      <c r="B510" s="107"/>
      <c r="C510" s="105"/>
      <c r="D510" s="105"/>
      <c r="E510" s="105"/>
      <c r="F510" s="105"/>
      <c r="G510" s="105"/>
      <c r="H510" s="105"/>
      <c r="I510" s="105"/>
      <c r="J510" s="105"/>
      <c r="K510" s="105"/>
      <c r="L510" s="105"/>
      <c r="M510" s="108"/>
      <c r="N510" s="105"/>
      <c r="P510" s="105"/>
    </row>
    <row r="511" spans="2:16">
      <c r="B511" s="107"/>
      <c r="C511" s="105"/>
      <c r="D511" s="105"/>
      <c r="E511" s="105"/>
      <c r="F511" s="105"/>
      <c r="G511" s="105"/>
      <c r="H511" s="105"/>
      <c r="I511" s="105"/>
      <c r="J511" s="105"/>
      <c r="K511" s="105"/>
      <c r="L511" s="105"/>
      <c r="M511" s="108"/>
      <c r="N511" s="105"/>
      <c r="P511" s="105"/>
    </row>
    <row r="512" spans="2:16">
      <c r="B512" s="107"/>
      <c r="C512" s="105"/>
      <c r="D512" s="105"/>
      <c r="E512" s="105"/>
      <c r="F512" s="105"/>
      <c r="G512" s="105"/>
      <c r="H512" s="105"/>
      <c r="I512" s="105"/>
      <c r="J512" s="105"/>
      <c r="K512" s="105"/>
      <c r="L512" s="105"/>
      <c r="M512" s="108"/>
      <c r="N512" s="105"/>
      <c r="P512" s="105"/>
    </row>
    <row r="513" spans="2:16">
      <c r="B513" s="107"/>
      <c r="C513" s="105"/>
      <c r="D513" s="105"/>
      <c r="E513" s="105"/>
      <c r="F513" s="105"/>
      <c r="G513" s="105"/>
      <c r="H513" s="105"/>
      <c r="I513" s="105"/>
      <c r="J513" s="105"/>
      <c r="K513" s="105"/>
      <c r="L513" s="105"/>
      <c r="M513" s="108"/>
      <c r="N513" s="105"/>
      <c r="P513" s="105"/>
    </row>
    <row r="514" spans="2:16">
      <c r="B514" s="107"/>
      <c r="C514" s="105"/>
      <c r="D514" s="105"/>
      <c r="E514" s="105"/>
      <c r="F514" s="105"/>
      <c r="G514" s="105"/>
      <c r="H514" s="105"/>
      <c r="I514" s="105"/>
      <c r="J514" s="105"/>
      <c r="K514" s="105"/>
      <c r="L514" s="105"/>
      <c r="M514" s="108"/>
      <c r="N514" s="105"/>
      <c r="P514" s="105"/>
    </row>
    <row r="515" spans="2:16">
      <c r="B515" s="107"/>
      <c r="C515" s="105"/>
      <c r="D515" s="105"/>
      <c r="E515" s="105"/>
      <c r="F515" s="105"/>
      <c r="G515" s="105"/>
      <c r="H515" s="105"/>
      <c r="I515" s="105"/>
      <c r="J515" s="105"/>
      <c r="K515" s="105"/>
      <c r="L515" s="105"/>
      <c r="M515" s="108"/>
      <c r="N515" s="105"/>
      <c r="P515" s="105"/>
    </row>
    <row r="516" spans="2:16">
      <c r="B516" s="107"/>
      <c r="C516" s="105"/>
      <c r="D516" s="105"/>
      <c r="E516" s="105"/>
      <c r="F516" s="105"/>
      <c r="G516" s="105"/>
      <c r="H516" s="105"/>
      <c r="I516" s="105"/>
      <c r="J516" s="105"/>
      <c r="K516" s="105"/>
      <c r="L516" s="105"/>
      <c r="M516" s="108"/>
      <c r="N516" s="105"/>
      <c r="P516" s="105"/>
    </row>
    <row r="517" spans="2:16">
      <c r="B517" s="107"/>
      <c r="C517" s="105"/>
      <c r="D517" s="105"/>
      <c r="E517" s="105"/>
      <c r="F517" s="105"/>
      <c r="G517" s="105"/>
      <c r="H517" s="105"/>
      <c r="I517" s="105"/>
      <c r="J517" s="105"/>
      <c r="K517" s="105"/>
      <c r="L517" s="105"/>
      <c r="M517" s="108"/>
      <c r="N517" s="105"/>
      <c r="P517" s="105"/>
    </row>
    <row r="518" spans="2:16">
      <c r="B518" s="107"/>
      <c r="C518" s="105"/>
      <c r="D518" s="105"/>
      <c r="E518" s="105"/>
      <c r="F518" s="105"/>
      <c r="G518" s="105"/>
      <c r="H518" s="105"/>
      <c r="I518" s="105"/>
      <c r="J518" s="105"/>
      <c r="K518" s="105"/>
      <c r="L518" s="105"/>
      <c r="N518" s="105"/>
      <c r="P518" s="105"/>
    </row>
    <row r="519" spans="2:16">
      <c r="B519" s="107"/>
      <c r="C519" s="105"/>
      <c r="D519" s="105"/>
      <c r="E519" s="105"/>
      <c r="F519" s="105"/>
      <c r="G519" s="105"/>
      <c r="H519" s="105"/>
      <c r="I519" s="105"/>
      <c r="J519" s="105"/>
      <c r="K519" s="105"/>
      <c r="L519" s="105"/>
      <c r="N519" s="105"/>
      <c r="P519" s="105"/>
    </row>
    <row r="520" spans="2:16">
      <c r="B520" s="107"/>
      <c r="C520" s="105"/>
      <c r="D520" s="105"/>
      <c r="E520" s="105"/>
      <c r="F520" s="105"/>
      <c r="G520" s="105"/>
      <c r="H520" s="105"/>
      <c r="I520" s="105"/>
      <c r="J520" s="105"/>
      <c r="K520" s="105"/>
      <c r="L520" s="105"/>
      <c r="N520" s="105"/>
      <c r="P520" s="105"/>
    </row>
    <row r="521" spans="2:16">
      <c r="B521" s="107"/>
      <c r="C521" s="105"/>
      <c r="D521" s="105"/>
      <c r="E521" s="105"/>
      <c r="F521" s="105"/>
      <c r="G521" s="105"/>
      <c r="H521" s="105"/>
      <c r="I521" s="105"/>
      <c r="J521" s="105"/>
      <c r="K521" s="105"/>
      <c r="L521" s="105"/>
      <c r="N521" s="105"/>
      <c r="P521" s="105"/>
    </row>
    <row r="522" spans="2:16">
      <c r="B522" s="107"/>
      <c r="C522" s="105"/>
      <c r="D522" s="105"/>
      <c r="E522" s="105"/>
      <c r="F522" s="105"/>
      <c r="G522" s="105"/>
      <c r="H522" s="105"/>
      <c r="I522" s="105"/>
      <c r="J522" s="105"/>
      <c r="K522" s="105"/>
      <c r="L522" s="105"/>
      <c r="N522" s="105"/>
      <c r="P522" s="105"/>
    </row>
    <row r="523" spans="2:16">
      <c r="B523" s="107"/>
      <c r="C523" s="105"/>
      <c r="D523" s="105"/>
      <c r="E523" s="105"/>
      <c r="F523" s="105"/>
      <c r="G523" s="105"/>
      <c r="H523" s="105"/>
      <c r="I523" s="105"/>
      <c r="J523" s="105"/>
      <c r="K523" s="105"/>
      <c r="L523" s="105"/>
      <c r="N523" s="105"/>
      <c r="P523" s="105"/>
    </row>
    <row r="524" spans="2:16">
      <c r="B524" s="107"/>
      <c r="C524" s="105"/>
      <c r="D524" s="105"/>
      <c r="E524" s="105"/>
      <c r="F524" s="105"/>
      <c r="G524" s="105"/>
      <c r="H524" s="105"/>
      <c r="I524" s="105"/>
      <c r="J524" s="105"/>
      <c r="K524" s="105"/>
      <c r="L524" s="105"/>
      <c r="N524" s="105"/>
      <c r="P524" s="105"/>
    </row>
    <row r="525" spans="2:16">
      <c r="B525" s="107"/>
      <c r="C525" s="105"/>
      <c r="D525" s="105"/>
      <c r="E525" s="105"/>
      <c r="F525" s="105"/>
      <c r="G525" s="105"/>
      <c r="H525" s="105"/>
      <c r="I525" s="105"/>
      <c r="J525" s="105"/>
      <c r="K525" s="105"/>
      <c r="L525" s="105"/>
      <c r="N525" s="105"/>
      <c r="P525" s="105"/>
    </row>
    <row r="526" spans="2:16">
      <c r="B526" s="107"/>
      <c r="C526" s="105"/>
      <c r="D526" s="105"/>
      <c r="E526" s="105"/>
      <c r="F526" s="105"/>
      <c r="G526" s="105"/>
      <c r="H526" s="105"/>
      <c r="I526" s="105"/>
      <c r="J526" s="105"/>
      <c r="K526" s="105"/>
      <c r="L526" s="105"/>
      <c r="N526" s="105"/>
      <c r="P526" s="105"/>
    </row>
    <row r="527" spans="2:16">
      <c r="B527" s="107"/>
      <c r="C527" s="105"/>
      <c r="D527" s="105"/>
      <c r="E527" s="105"/>
      <c r="F527" s="105"/>
      <c r="G527" s="105"/>
      <c r="H527" s="105"/>
      <c r="I527" s="105"/>
      <c r="J527" s="105"/>
      <c r="K527" s="105"/>
      <c r="L527" s="105"/>
      <c r="N527" s="105"/>
      <c r="P527" s="105"/>
    </row>
    <row r="528" spans="2:16">
      <c r="B528" s="107"/>
      <c r="C528" s="105"/>
      <c r="D528" s="105"/>
      <c r="E528" s="105"/>
      <c r="F528" s="105"/>
      <c r="G528" s="105"/>
      <c r="H528" s="105"/>
      <c r="I528" s="105"/>
      <c r="J528" s="105"/>
      <c r="K528" s="105"/>
      <c r="L528" s="105"/>
      <c r="N528" s="105"/>
      <c r="P528" s="105"/>
    </row>
    <row r="529" spans="2:16">
      <c r="B529" s="107"/>
      <c r="C529" s="105"/>
      <c r="D529" s="105"/>
      <c r="E529" s="105"/>
      <c r="F529" s="105"/>
      <c r="G529" s="105"/>
      <c r="H529" s="105"/>
      <c r="I529" s="105"/>
      <c r="J529" s="105"/>
      <c r="K529" s="105"/>
      <c r="L529" s="105"/>
      <c r="N529" s="105"/>
      <c r="P529" s="105"/>
    </row>
    <row r="530" spans="2:16">
      <c r="B530" s="107"/>
      <c r="C530" s="105"/>
      <c r="D530" s="105"/>
      <c r="E530" s="105"/>
      <c r="F530" s="105"/>
      <c r="G530" s="105"/>
      <c r="H530" s="105"/>
      <c r="I530" s="105"/>
      <c r="J530" s="105"/>
      <c r="K530" s="105"/>
      <c r="L530" s="105"/>
      <c r="N530" s="105"/>
      <c r="P530" s="105"/>
    </row>
    <row r="531" spans="2:16">
      <c r="B531" s="107"/>
      <c r="C531" s="105"/>
      <c r="D531" s="105"/>
      <c r="E531" s="105"/>
      <c r="F531" s="105"/>
      <c r="G531" s="105"/>
      <c r="H531" s="105"/>
      <c r="I531" s="105"/>
      <c r="J531" s="105"/>
      <c r="K531" s="105"/>
      <c r="L531" s="105"/>
      <c r="N531" s="105"/>
      <c r="P531" s="105"/>
    </row>
    <row r="532" spans="2:16">
      <c r="B532" s="107"/>
      <c r="C532" s="105"/>
      <c r="D532" s="105"/>
      <c r="E532" s="105"/>
      <c r="F532" s="105"/>
      <c r="G532" s="105"/>
      <c r="H532" s="105"/>
      <c r="I532" s="105"/>
      <c r="J532" s="105"/>
      <c r="K532" s="105"/>
      <c r="L532" s="105"/>
      <c r="N532" s="105"/>
      <c r="P532" s="105"/>
    </row>
    <row r="533" spans="2:16">
      <c r="B533" s="107"/>
      <c r="C533" s="105"/>
      <c r="D533" s="105"/>
      <c r="E533" s="105"/>
      <c r="F533" s="105"/>
      <c r="G533" s="105"/>
      <c r="H533" s="105"/>
      <c r="I533" s="105"/>
      <c r="J533" s="105"/>
      <c r="K533" s="105"/>
      <c r="L533" s="105"/>
      <c r="N533" s="105"/>
      <c r="P533" s="105"/>
    </row>
    <row r="534" spans="2:16">
      <c r="B534" s="107"/>
      <c r="C534" s="105"/>
      <c r="D534" s="105"/>
      <c r="E534" s="105"/>
      <c r="F534" s="105"/>
      <c r="G534" s="105"/>
      <c r="H534" s="105"/>
      <c r="I534" s="105"/>
      <c r="J534" s="105"/>
      <c r="K534" s="105"/>
      <c r="L534" s="105"/>
      <c r="N534" s="105"/>
      <c r="P534" s="105"/>
    </row>
    <row r="535" spans="2:16">
      <c r="B535" s="107"/>
      <c r="C535" s="105"/>
      <c r="D535" s="105"/>
      <c r="E535" s="105"/>
      <c r="F535" s="105"/>
      <c r="G535" s="105"/>
      <c r="H535" s="105"/>
      <c r="I535" s="105"/>
      <c r="J535" s="105"/>
      <c r="K535" s="105"/>
      <c r="L535" s="105"/>
      <c r="N535" s="105"/>
      <c r="P535" s="105"/>
    </row>
    <row r="536" spans="2:16">
      <c r="B536" s="107"/>
      <c r="C536" s="105"/>
      <c r="D536" s="105"/>
      <c r="E536" s="105"/>
      <c r="F536" s="105"/>
      <c r="G536" s="105"/>
      <c r="H536" s="105"/>
      <c r="I536" s="105"/>
      <c r="J536" s="105"/>
      <c r="K536" s="105"/>
      <c r="L536" s="105"/>
      <c r="N536" s="105"/>
      <c r="P536" s="105"/>
    </row>
    <row r="537" spans="2:16">
      <c r="B537" s="107"/>
      <c r="C537" s="105"/>
      <c r="D537" s="105"/>
      <c r="E537" s="105"/>
      <c r="F537" s="105"/>
      <c r="G537" s="105"/>
      <c r="H537" s="105"/>
      <c r="I537" s="105"/>
      <c r="J537" s="105"/>
      <c r="K537" s="105"/>
      <c r="L537" s="105"/>
      <c r="N537" s="105"/>
      <c r="P537" s="105"/>
    </row>
    <row r="538" spans="2:16">
      <c r="B538" s="107"/>
      <c r="C538" s="105"/>
      <c r="D538" s="105"/>
      <c r="E538" s="105"/>
      <c r="F538" s="105"/>
      <c r="G538" s="105"/>
      <c r="H538" s="105"/>
      <c r="I538" s="105"/>
      <c r="J538" s="105"/>
      <c r="K538" s="105"/>
      <c r="L538" s="105"/>
      <c r="N538" s="105"/>
      <c r="P538" s="105"/>
    </row>
    <row r="539" spans="2:16">
      <c r="B539" s="107"/>
      <c r="C539" s="105"/>
      <c r="D539" s="105"/>
      <c r="E539" s="105"/>
      <c r="F539" s="105"/>
      <c r="G539" s="105"/>
      <c r="H539" s="105"/>
      <c r="I539" s="105"/>
      <c r="J539" s="105"/>
      <c r="K539" s="105"/>
      <c r="L539" s="105"/>
      <c r="N539" s="105"/>
      <c r="P539" s="105"/>
    </row>
    <row r="540" spans="2:16">
      <c r="B540" s="107"/>
      <c r="C540" s="105"/>
      <c r="D540" s="105"/>
      <c r="E540" s="105"/>
      <c r="F540" s="105"/>
      <c r="G540" s="105"/>
      <c r="H540" s="105"/>
      <c r="I540" s="105"/>
      <c r="J540" s="105"/>
      <c r="K540" s="105"/>
      <c r="L540" s="105"/>
      <c r="N540" s="105"/>
      <c r="P540" s="105"/>
    </row>
    <row r="541" spans="2:16">
      <c r="B541" s="107"/>
      <c r="C541" s="105"/>
      <c r="D541" s="105"/>
      <c r="E541" s="105"/>
      <c r="F541" s="105"/>
      <c r="G541" s="105"/>
      <c r="H541" s="105"/>
      <c r="I541" s="105"/>
      <c r="J541" s="105"/>
      <c r="K541" s="105"/>
      <c r="L541" s="105"/>
      <c r="N541" s="105"/>
      <c r="P541" s="105"/>
    </row>
    <row r="542" spans="2:16">
      <c r="B542" s="107"/>
      <c r="C542" s="105"/>
      <c r="D542" s="105"/>
      <c r="E542" s="105"/>
      <c r="F542" s="105"/>
      <c r="G542" s="105"/>
      <c r="H542" s="105"/>
      <c r="I542" s="105"/>
      <c r="J542" s="105"/>
      <c r="K542" s="105"/>
      <c r="L542" s="105"/>
      <c r="N542" s="105"/>
      <c r="P542" s="105"/>
    </row>
    <row r="543" spans="2:16">
      <c r="B543" s="107"/>
      <c r="C543" s="105"/>
      <c r="D543" s="105"/>
      <c r="E543" s="105"/>
      <c r="F543" s="105"/>
      <c r="G543" s="105"/>
      <c r="H543" s="105"/>
      <c r="I543" s="105"/>
      <c r="J543" s="105"/>
      <c r="K543" s="105"/>
      <c r="L543" s="105"/>
      <c r="N543" s="105"/>
      <c r="P543" s="105"/>
    </row>
    <row r="544" spans="2:16">
      <c r="B544" s="107"/>
      <c r="C544" s="105"/>
      <c r="D544" s="105"/>
      <c r="E544" s="105"/>
      <c r="F544" s="105"/>
      <c r="G544" s="105"/>
      <c r="H544" s="105"/>
      <c r="I544" s="105"/>
      <c r="J544" s="105"/>
      <c r="K544" s="105"/>
      <c r="L544" s="105"/>
      <c r="N544" s="105"/>
      <c r="P544" s="105"/>
    </row>
    <row r="545" spans="2:16">
      <c r="B545" s="107"/>
      <c r="C545" s="105"/>
      <c r="D545" s="105"/>
      <c r="E545" s="105"/>
      <c r="F545" s="105"/>
      <c r="G545" s="105"/>
      <c r="H545" s="105"/>
      <c r="I545" s="105"/>
      <c r="J545" s="105"/>
      <c r="K545" s="105"/>
      <c r="L545" s="105"/>
      <c r="N545" s="105"/>
      <c r="P545" s="105"/>
    </row>
    <row r="546" spans="2:16">
      <c r="B546" s="107"/>
      <c r="C546" s="105"/>
      <c r="D546" s="105"/>
      <c r="E546" s="105"/>
      <c r="F546" s="105"/>
      <c r="G546" s="105"/>
      <c r="H546" s="105"/>
      <c r="I546" s="105"/>
      <c r="J546" s="105"/>
      <c r="K546" s="105"/>
      <c r="L546" s="105"/>
      <c r="N546" s="105"/>
      <c r="P546" s="105"/>
    </row>
    <row r="547" spans="2:16">
      <c r="B547" s="107"/>
      <c r="C547" s="105"/>
      <c r="D547" s="105"/>
      <c r="E547" s="105"/>
      <c r="F547" s="105"/>
      <c r="G547" s="105"/>
      <c r="H547" s="105"/>
      <c r="I547" s="105"/>
      <c r="J547" s="105"/>
      <c r="K547" s="105"/>
      <c r="L547" s="105"/>
      <c r="N547" s="105"/>
      <c r="P547" s="105"/>
    </row>
    <row r="548" spans="2:16">
      <c r="B548" s="107"/>
      <c r="C548" s="105"/>
      <c r="D548" s="105"/>
      <c r="E548" s="105"/>
      <c r="F548" s="105"/>
      <c r="G548" s="105"/>
      <c r="H548" s="105"/>
      <c r="I548" s="105"/>
      <c r="J548" s="105"/>
      <c r="K548" s="105"/>
      <c r="L548" s="105"/>
      <c r="N548" s="105"/>
      <c r="P548" s="105"/>
    </row>
    <row r="549" spans="2:16">
      <c r="B549" s="107"/>
      <c r="C549" s="105"/>
      <c r="D549" s="105"/>
      <c r="E549" s="105"/>
      <c r="F549" s="105"/>
      <c r="G549" s="105"/>
      <c r="H549" s="105"/>
      <c r="I549" s="105"/>
      <c r="J549" s="105"/>
      <c r="K549" s="105"/>
      <c r="L549" s="105"/>
      <c r="N549" s="105"/>
      <c r="P549" s="105"/>
    </row>
    <row r="550" spans="2:16">
      <c r="B550" s="107"/>
      <c r="C550" s="105"/>
      <c r="D550" s="105"/>
      <c r="E550" s="105"/>
      <c r="F550" s="105"/>
      <c r="G550" s="105"/>
      <c r="H550" s="105"/>
      <c r="I550" s="105"/>
      <c r="J550" s="105"/>
      <c r="K550" s="105"/>
      <c r="L550" s="105"/>
      <c r="N550" s="105"/>
      <c r="P550" s="105"/>
    </row>
    <row r="551" spans="2:16">
      <c r="B551" s="107"/>
      <c r="C551" s="105"/>
      <c r="D551" s="105"/>
      <c r="E551" s="105"/>
      <c r="F551" s="105"/>
      <c r="G551" s="105"/>
      <c r="H551" s="105"/>
      <c r="I551" s="105"/>
      <c r="J551" s="105"/>
      <c r="K551" s="105"/>
      <c r="L551" s="105"/>
      <c r="N551" s="105"/>
      <c r="P551" s="105"/>
    </row>
    <row r="552" spans="2:16">
      <c r="B552" s="107"/>
      <c r="C552" s="105"/>
      <c r="D552" s="105"/>
      <c r="E552" s="105"/>
      <c r="F552" s="105"/>
      <c r="G552" s="105"/>
      <c r="H552" s="105"/>
      <c r="I552" s="105"/>
      <c r="J552" s="105"/>
      <c r="K552" s="105"/>
      <c r="L552" s="105"/>
      <c r="N552" s="105"/>
      <c r="P552" s="105"/>
    </row>
    <row r="553" spans="2:16">
      <c r="B553" s="107"/>
      <c r="C553" s="105"/>
      <c r="D553" s="105"/>
      <c r="E553" s="105"/>
      <c r="F553" s="105"/>
      <c r="G553" s="105"/>
      <c r="H553" s="105"/>
      <c r="I553" s="105"/>
      <c r="J553" s="105"/>
      <c r="K553" s="105"/>
      <c r="L553" s="105"/>
      <c r="N553" s="105"/>
      <c r="P553" s="105"/>
    </row>
    <row r="554" spans="2:16">
      <c r="B554" s="107"/>
      <c r="C554" s="105"/>
      <c r="D554" s="105"/>
      <c r="E554" s="105"/>
      <c r="F554" s="105"/>
      <c r="G554" s="105"/>
      <c r="H554" s="105"/>
      <c r="I554" s="105"/>
      <c r="J554" s="105"/>
      <c r="K554" s="105"/>
      <c r="L554" s="105"/>
      <c r="N554" s="105"/>
      <c r="P554" s="105"/>
    </row>
    <row r="555" spans="2:16">
      <c r="B555" s="107"/>
      <c r="C555" s="105"/>
      <c r="D555" s="105"/>
      <c r="E555" s="105"/>
      <c r="F555" s="105"/>
      <c r="G555" s="105"/>
      <c r="H555" s="105"/>
      <c r="I555" s="105"/>
      <c r="J555" s="105"/>
      <c r="K555" s="105"/>
      <c r="L555" s="105"/>
      <c r="N555" s="105"/>
      <c r="P555" s="105"/>
    </row>
    <row r="556" spans="2:16">
      <c r="B556" s="107"/>
      <c r="C556" s="105"/>
      <c r="D556" s="105"/>
      <c r="E556" s="105"/>
      <c r="F556" s="105"/>
      <c r="G556" s="105"/>
      <c r="H556" s="105"/>
      <c r="I556" s="105"/>
      <c r="J556" s="105"/>
      <c r="K556" s="105"/>
      <c r="L556" s="105"/>
      <c r="N556" s="105"/>
      <c r="P556" s="105"/>
    </row>
    <row r="557" spans="2:16">
      <c r="B557" s="107"/>
      <c r="C557" s="105"/>
      <c r="D557" s="105"/>
      <c r="E557" s="105"/>
      <c r="F557" s="105"/>
      <c r="G557" s="105"/>
      <c r="H557" s="105"/>
      <c r="I557" s="105"/>
      <c r="J557" s="105"/>
      <c r="K557" s="105"/>
      <c r="L557" s="105"/>
      <c r="N557" s="105"/>
      <c r="P557" s="105"/>
    </row>
    <row r="558" spans="2:16">
      <c r="B558" s="107"/>
      <c r="C558" s="105"/>
      <c r="D558" s="105"/>
      <c r="E558" s="105"/>
      <c r="F558" s="105"/>
      <c r="G558" s="105"/>
      <c r="H558" s="105"/>
      <c r="I558" s="105"/>
      <c r="J558" s="105"/>
      <c r="K558" s="105"/>
      <c r="L558" s="105"/>
      <c r="N558" s="105"/>
      <c r="P558" s="105"/>
    </row>
    <row r="559" spans="2:16">
      <c r="B559" s="107"/>
      <c r="C559" s="105"/>
      <c r="D559" s="105"/>
      <c r="E559" s="105"/>
      <c r="F559" s="105"/>
      <c r="G559" s="105"/>
      <c r="H559" s="105"/>
      <c r="I559" s="105"/>
      <c r="J559" s="105"/>
      <c r="K559" s="105"/>
      <c r="L559" s="105"/>
      <c r="N559" s="105"/>
      <c r="P559" s="105"/>
    </row>
    <row r="560" spans="2:16">
      <c r="B560" s="107"/>
      <c r="C560" s="105"/>
      <c r="D560" s="105"/>
      <c r="E560" s="105"/>
      <c r="F560" s="105"/>
      <c r="G560" s="105"/>
      <c r="H560" s="105"/>
      <c r="I560" s="105"/>
      <c r="J560" s="105"/>
      <c r="K560" s="105"/>
      <c r="L560" s="105"/>
      <c r="N560" s="105"/>
      <c r="P560" s="105"/>
    </row>
    <row r="561" spans="2:16">
      <c r="B561" s="107"/>
      <c r="C561" s="105"/>
      <c r="D561" s="105"/>
      <c r="E561" s="105"/>
      <c r="F561" s="105"/>
      <c r="G561" s="105"/>
      <c r="H561" s="105"/>
      <c r="I561" s="105"/>
      <c r="J561" s="105"/>
      <c r="K561" s="105"/>
      <c r="L561" s="105"/>
      <c r="N561" s="105"/>
      <c r="P561" s="105"/>
    </row>
    <row r="562" spans="2:16">
      <c r="B562" s="107"/>
      <c r="C562" s="105"/>
      <c r="D562" s="105"/>
      <c r="E562" s="105"/>
      <c r="F562" s="105"/>
      <c r="G562" s="105"/>
      <c r="H562" s="105"/>
      <c r="I562" s="105"/>
      <c r="J562" s="105"/>
      <c r="K562" s="105"/>
      <c r="L562" s="105"/>
      <c r="N562" s="105"/>
      <c r="P562" s="105"/>
    </row>
    <row r="563" spans="2:16">
      <c r="B563" s="107"/>
      <c r="C563" s="105"/>
      <c r="D563" s="105"/>
      <c r="E563" s="105"/>
      <c r="F563" s="105"/>
      <c r="G563" s="105"/>
      <c r="H563" s="105"/>
      <c r="I563" s="105"/>
      <c r="J563" s="105"/>
      <c r="K563" s="105"/>
      <c r="L563" s="105"/>
      <c r="N563" s="105"/>
      <c r="P563" s="105"/>
    </row>
    <row r="564" spans="2:16">
      <c r="B564" s="107"/>
      <c r="C564" s="105"/>
      <c r="D564" s="105"/>
      <c r="E564" s="105"/>
      <c r="F564" s="105"/>
      <c r="G564" s="105"/>
      <c r="H564" s="105"/>
      <c r="I564" s="105"/>
      <c r="J564" s="105"/>
      <c r="K564" s="105"/>
      <c r="L564" s="105"/>
      <c r="N564" s="105"/>
      <c r="P564" s="105"/>
    </row>
    <row r="565" spans="2:16">
      <c r="B565" s="107"/>
      <c r="C565" s="105"/>
      <c r="D565" s="105"/>
      <c r="E565" s="105"/>
      <c r="F565" s="105"/>
      <c r="G565" s="105"/>
      <c r="H565" s="105"/>
      <c r="I565" s="105"/>
      <c r="J565" s="105"/>
      <c r="K565" s="105"/>
      <c r="L565" s="105"/>
      <c r="N565" s="105"/>
      <c r="P565" s="105"/>
    </row>
    <row r="566" spans="2:16">
      <c r="B566" s="107"/>
      <c r="C566" s="105"/>
      <c r="D566" s="105"/>
      <c r="E566" s="105"/>
      <c r="F566" s="105"/>
      <c r="G566" s="105"/>
      <c r="H566" s="105"/>
      <c r="I566" s="105"/>
      <c r="J566" s="105"/>
      <c r="K566" s="105"/>
      <c r="L566" s="105"/>
      <c r="N566" s="105"/>
      <c r="P566" s="105"/>
    </row>
    <row r="567" spans="2:16">
      <c r="B567" s="107"/>
      <c r="C567" s="105"/>
      <c r="D567" s="105"/>
      <c r="E567" s="105"/>
      <c r="F567" s="105"/>
      <c r="G567" s="105"/>
      <c r="H567" s="105"/>
      <c r="I567" s="105"/>
      <c r="J567" s="105"/>
      <c r="K567" s="105"/>
      <c r="L567" s="105"/>
      <c r="N567" s="105"/>
      <c r="P567" s="105"/>
    </row>
    <row r="568" spans="2:16">
      <c r="B568" s="107"/>
      <c r="C568" s="105"/>
      <c r="D568" s="105"/>
      <c r="E568" s="105"/>
      <c r="F568" s="105"/>
      <c r="G568" s="105"/>
      <c r="H568" s="105"/>
      <c r="I568" s="105"/>
      <c r="J568" s="105"/>
      <c r="K568" s="105"/>
      <c r="L568" s="105"/>
      <c r="N568" s="105"/>
      <c r="P568" s="105"/>
    </row>
    <row r="569" spans="2:16">
      <c r="B569" s="107"/>
      <c r="C569" s="105"/>
      <c r="D569" s="105"/>
      <c r="E569" s="105"/>
      <c r="F569" s="105"/>
      <c r="G569" s="105"/>
      <c r="H569" s="105"/>
      <c r="I569" s="105"/>
      <c r="J569" s="105"/>
      <c r="K569" s="105"/>
      <c r="L569" s="105"/>
      <c r="N569" s="105"/>
      <c r="P569" s="105"/>
    </row>
    <row r="570" spans="2:16">
      <c r="B570" s="107"/>
      <c r="C570" s="105"/>
      <c r="D570" s="105"/>
      <c r="E570" s="105"/>
      <c r="F570" s="105"/>
      <c r="G570" s="105"/>
      <c r="H570" s="105"/>
      <c r="I570" s="105"/>
      <c r="J570" s="105"/>
      <c r="K570" s="105"/>
      <c r="L570" s="105"/>
      <c r="N570" s="105"/>
      <c r="P570" s="105"/>
    </row>
    <row r="571" spans="2:16">
      <c r="B571" s="107"/>
      <c r="C571" s="105"/>
      <c r="D571" s="105"/>
      <c r="E571" s="105"/>
      <c r="F571" s="105"/>
      <c r="G571" s="105"/>
      <c r="H571" s="105"/>
      <c r="I571" s="105"/>
      <c r="J571" s="105"/>
      <c r="K571" s="105"/>
      <c r="L571" s="105"/>
      <c r="N571" s="105"/>
      <c r="P571" s="105"/>
    </row>
    <row r="572" spans="2:16">
      <c r="B572" s="107"/>
      <c r="C572" s="105"/>
      <c r="D572" s="105"/>
      <c r="E572" s="105"/>
      <c r="F572" s="105"/>
      <c r="G572" s="105"/>
      <c r="H572" s="105"/>
      <c r="I572" s="105"/>
      <c r="J572" s="105"/>
      <c r="K572" s="105"/>
      <c r="L572" s="105"/>
      <c r="N572" s="105"/>
      <c r="P572" s="105"/>
    </row>
    <row r="573" spans="2:16">
      <c r="B573" s="107"/>
      <c r="C573" s="105"/>
      <c r="D573" s="105"/>
      <c r="E573" s="105"/>
      <c r="F573" s="105"/>
      <c r="G573" s="105"/>
      <c r="H573" s="105"/>
      <c r="I573" s="105"/>
      <c r="J573" s="105"/>
      <c r="K573" s="105"/>
      <c r="L573" s="105"/>
      <c r="N573" s="105"/>
      <c r="P573" s="105"/>
    </row>
    <row r="574" spans="2:16">
      <c r="B574" s="107"/>
      <c r="C574" s="105"/>
      <c r="D574" s="105"/>
      <c r="E574" s="105"/>
      <c r="F574" s="105"/>
      <c r="G574" s="105"/>
      <c r="H574" s="105"/>
      <c r="I574" s="105"/>
      <c r="J574" s="105"/>
      <c r="K574" s="105"/>
      <c r="L574" s="105"/>
      <c r="N574" s="105"/>
      <c r="P574" s="105"/>
    </row>
    <row r="575" spans="2:16">
      <c r="B575" s="107"/>
      <c r="C575" s="105"/>
      <c r="D575" s="105"/>
      <c r="E575" s="105"/>
      <c r="F575" s="105"/>
      <c r="G575" s="105"/>
      <c r="H575" s="105"/>
      <c r="I575" s="105"/>
      <c r="J575" s="105"/>
      <c r="K575" s="105"/>
      <c r="L575" s="105"/>
      <c r="N575" s="105"/>
      <c r="P575" s="105"/>
    </row>
    <row r="576" spans="2:16">
      <c r="B576" s="107"/>
      <c r="C576" s="105"/>
      <c r="D576" s="105"/>
      <c r="E576" s="105"/>
      <c r="F576" s="105"/>
      <c r="G576" s="105"/>
      <c r="H576" s="105"/>
      <c r="I576" s="105"/>
      <c r="J576" s="105"/>
      <c r="K576" s="105"/>
      <c r="L576" s="105"/>
      <c r="N576" s="105"/>
      <c r="P576" s="105"/>
    </row>
    <row r="577" spans="2:16">
      <c r="B577" s="107"/>
      <c r="C577" s="105"/>
      <c r="D577" s="105"/>
      <c r="E577" s="105"/>
      <c r="F577" s="105"/>
      <c r="G577" s="105"/>
      <c r="H577" s="105"/>
      <c r="I577" s="105"/>
      <c r="J577" s="105"/>
      <c r="K577" s="105"/>
      <c r="L577" s="105"/>
      <c r="N577" s="105"/>
      <c r="P577" s="105"/>
    </row>
    <row r="578" spans="2:16">
      <c r="B578" s="107"/>
      <c r="C578" s="105"/>
      <c r="D578" s="105"/>
      <c r="E578" s="105"/>
      <c r="F578" s="105"/>
      <c r="G578" s="105"/>
      <c r="H578" s="105"/>
      <c r="I578" s="105"/>
      <c r="J578" s="105"/>
      <c r="K578" s="105"/>
      <c r="L578" s="105"/>
      <c r="N578" s="105"/>
      <c r="P578" s="105"/>
    </row>
    <row r="579" spans="2:16">
      <c r="B579" s="107"/>
      <c r="C579" s="105"/>
      <c r="D579" s="105"/>
      <c r="E579" s="105"/>
      <c r="F579" s="105"/>
      <c r="G579" s="105"/>
      <c r="H579" s="105"/>
      <c r="I579" s="105"/>
      <c r="J579" s="105"/>
      <c r="K579" s="105"/>
      <c r="L579" s="105"/>
      <c r="N579" s="105"/>
      <c r="P579" s="105"/>
    </row>
    <row r="580" spans="2:16">
      <c r="B580" s="107"/>
      <c r="C580" s="105"/>
      <c r="D580" s="105"/>
      <c r="E580" s="105"/>
      <c r="F580" s="105"/>
      <c r="G580" s="105"/>
      <c r="H580" s="105"/>
      <c r="I580" s="105"/>
      <c r="J580" s="105"/>
      <c r="K580" s="105"/>
      <c r="L580" s="105"/>
      <c r="N580" s="105"/>
      <c r="P580" s="105"/>
    </row>
    <row r="581" spans="2:16">
      <c r="B581" s="107"/>
      <c r="C581" s="105"/>
      <c r="D581" s="105"/>
      <c r="E581" s="105"/>
      <c r="F581" s="105"/>
      <c r="G581" s="105"/>
      <c r="H581" s="105"/>
      <c r="I581" s="105"/>
      <c r="J581" s="105"/>
      <c r="K581" s="105"/>
      <c r="L581" s="105"/>
      <c r="N581" s="105"/>
      <c r="P581" s="105"/>
    </row>
    <row r="582" spans="2:16">
      <c r="B582" s="107"/>
      <c r="C582" s="105"/>
      <c r="D582" s="105"/>
      <c r="E582" s="105"/>
      <c r="F582" s="105"/>
      <c r="G582" s="105"/>
      <c r="H582" s="105"/>
      <c r="I582" s="105"/>
      <c r="J582" s="105"/>
      <c r="K582" s="105"/>
      <c r="L582" s="105"/>
      <c r="N582" s="105"/>
      <c r="P582" s="105"/>
    </row>
    <row r="583" spans="2:16">
      <c r="B583" s="107"/>
      <c r="C583" s="105"/>
      <c r="D583" s="105"/>
      <c r="E583" s="105"/>
      <c r="F583" s="105"/>
      <c r="G583" s="105"/>
      <c r="H583" s="105"/>
      <c r="I583" s="105"/>
      <c r="J583" s="105"/>
      <c r="K583" s="105"/>
      <c r="L583" s="105"/>
      <c r="N583" s="105"/>
      <c r="P583" s="105"/>
    </row>
    <row r="584" spans="2:16">
      <c r="B584" s="107"/>
      <c r="C584" s="105"/>
      <c r="D584" s="105"/>
      <c r="E584" s="105"/>
      <c r="F584" s="105"/>
      <c r="G584" s="105"/>
      <c r="H584" s="105"/>
      <c r="I584" s="105"/>
      <c r="J584" s="105"/>
      <c r="K584" s="105"/>
      <c r="L584" s="105"/>
      <c r="N584" s="105"/>
      <c r="P584" s="105"/>
    </row>
    <row r="585" spans="2:16">
      <c r="B585" s="107"/>
      <c r="C585" s="105"/>
      <c r="D585" s="105"/>
      <c r="E585" s="105"/>
      <c r="F585" s="105"/>
      <c r="G585" s="105"/>
      <c r="H585" s="105"/>
      <c r="I585" s="105"/>
      <c r="J585" s="105"/>
      <c r="K585" s="105"/>
      <c r="L585" s="105"/>
      <c r="N585" s="105"/>
      <c r="P585" s="105"/>
    </row>
    <row r="586" spans="2:16">
      <c r="B586" s="107"/>
      <c r="C586" s="105"/>
      <c r="D586" s="105"/>
      <c r="E586" s="105"/>
      <c r="F586" s="105"/>
      <c r="G586" s="105"/>
      <c r="H586" s="105"/>
      <c r="I586" s="105"/>
      <c r="J586" s="105"/>
      <c r="K586" s="105"/>
      <c r="L586" s="105"/>
      <c r="N586" s="105"/>
      <c r="P586" s="105"/>
    </row>
    <row r="587" spans="2:16">
      <c r="B587" s="107"/>
      <c r="C587" s="105"/>
      <c r="D587" s="105"/>
      <c r="E587" s="105"/>
      <c r="F587" s="105"/>
      <c r="G587" s="105"/>
      <c r="H587" s="105"/>
      <c r="I587" s="105"/>
      <c r="J587" s="105"/>
      <c r="K587" s="105"/>
      <c r="L587" s="105"/>
      <c r="N587" s="105"/>
      <c r="P587" s="105"/>
    </row>
    <row r="588" spans="2:16">
      <c r="B588" s="107"/>
      <c r="C588" s="105"/>
      <c r="D588" s="105"/>
      <c r="E588" s="105"/>
      <c r="F588" s="105"/>
      <c r="G588" s="105"/>
      <c r="H588" s="105"/>
      <c r="I588" s="105"/>
      <c r="J588" s="105"/>
      <c r="K588" s="105"/>
      <c r="L588" s="105"/>
      <c r="N588" s="105"/>
      <c r="P588" s="105"/>
    </row>
    <row r="589" spans="2:16">
      <c r="B589" s="107"/>
      <c r="C589" s="105"/>
      <c r="D589" s="105"/>
      <c r="E589" s="105"/>
      <c r="F589" s="105"/>
      <c r="G589" s="105"/>
      <c r="H589" s="105"/>
      <c r="I589" s="105"/>
      <c r="J589" s="105"/>
      <c r="K589" s="105"/>
      <c r="L589" s="105"/>
      <c r="N589" s="105"/>
      <c r="P589" s="105"/>
    </row>
    <row r="590" spans="2:16">
      <c r="B590" s="107"/>
      <c r="C590" s="105"/>
      <c r="D590" s="105"/>
      <c r="E590" s="105"/>
      <c r="F590" s="105"/>
      <c r="G590" s="105"/>
      <c r="H590" s="105"/>
      <c r="I590" s="105"/>
      <c r="J590" s="105"/>
      <c r="K590" s="105"/>
      <c r="L590" s="105"/>
      <c r="N590" s="105"/>
      <c r="P590" s="105"/>
    </row>
    <row r="591" spans="2:16">
      <c r="B591" s="107"/>
      <c r="C591" s="105"/>
      <c r="D591" s="105"/>
      <c r="E591" s="105"/>
      <c r="F591" s="105"/>
      <c r="G591" s="105"/>
      <c r="H591" s="105"/>
      <c r="I591" s="105"/>
      <c r="J591" s="105"/>
      <c r="K591" s="105"/>
      <c r="L591" s="105"/>
      <c r="N591" s="105"/>
      <c r="P591" s="105"/>
    </row>
    <row r="592" spans="2:16">
      <c r="B592" s="107"/>
      <c r="C592" s="105"/>
      <c r="D592" s="105"/>
      <c r="E592" s="105"/>
      <c r="F592" s="105"/>
      <c r="G592" s="105"/>
      <c r="H592" s="105"/>
      <c r="I592" s="105"/>
      <c r="J592" s="105"/>
      <c r="K592" s="105"/>
      <c r="L592" s="105"/>
      <c r="N592" s="105"/>
      <c r="P592" s="105"/>
    </row>
    <row r="593" spans="2:16">
      <c r="B593" s="107"/>
      <c r="C593" s="105"/>
      <c r="D593" s="105"/>
      <c r="E593" s="105"/>
      <c r="F593" s="105"/>
      <c r="G593" s="105"/>
      <c r="H593" s="105"/>
      <c r="I593" s="105"/>
      <c r="J593" s="105"/>
      <c r="K593" s="105"/>
      <c r="L593" s="105"/>
      <c r="N593" s="105"/>
      <c r="P593" s="105"/>
    </row>
    <row r="594" spans="2:16">
      <c r="B594" s="107"/>
      <c r="C594" s="105"/>
      <c r="D594" s="105"/>
      <c r="E594" s="105"/>
      <c r="F594" s="105"/>
      <c r="G594" s="105"/>
      <c r="H594" s="105"/>
      <c r="I594" s="105"/>
      <c r="J594" s="105"/>
      <c r="K594" s="105"/>
      <c r="L594" s="105"/>
      <c r="N594" s="105"/>
      <c r="P594" s="105"/>
    </row>
    <row r="595" spans="2:16">
      <c r="B595" s="107"/>
      <c r="C595" s="105"/>
      <c r="D595" s="105"/>
      <c r="E595" s="105"/>
      <c r="F595" s="105"/>
      <c r="G595" s="105"/>
      <c r="H595" s="105"/>
      <c r="I595" s="105"/>
      <c r="J595" s="105"/>
      <c r="K595" s="105"/>
      <c r="L595" s="105"/>
      <c r="N595" s="105"/>
      <c r="P595" s="105"/>
    </row>
    <row r="596" spans="2:16">
      <c r="B596" s="107"/>
      <c r="C596" s="105"/>
      <c r="D596" s="105"/>
      <c r="E596" s="105"/>
      <c r="F596" s="105"/>
      <c r="G596" s="105"/>
      <c r="H596" s="105"/>
      <c r="I596" s="105"/>
      <c r="J596" s="105"/>
      <c r="K596" s="105"/>
      <c r="L596" s="105"/>
      <c r="N596" s="105"/>
      <c r="P596" s="105"/>
    </row>
    <row r="597" spans="2:16">
      <c r="B597" s="107"/>
      <c r="C597" s="105"/>
      <c r="D597" s="105"/>
      <c r="E597" s="105"/>
      <c r="F597" s="105"/>
      <c r="G597" s="105"/>
      <c r="H597" s="105"/>
      <c r="I597" s="105"/>
      <c r="J597" s="105"/>
      <c r="K597" s="105"/>
      <c r="L597" s="105"/>
      <c r="N597" s="105"/>
      <c r="P597" s="105"/>
    </row>
    <row r="598" spans="2:16">
      <c r="B598" s="107"/>
      <c r="C598" s="105"/>
      <c r="D598" s="105"/>
      <c r="E598" s="105"/>
      <c r="F598" s="105"/>
      <c r="G598" s="105"/>
      <c r="H598" s="105"/>
      <c r="I598" s="105"/>
      <c r="J598" s="105"/>
      <c r="K598" s="105"/>
      <c r="L598" s="105"/>
      <c r="N598" s="105"/>
      <c r="P598" s="105"/>
    </row>
    <row r="599" spans="2:16">
      <c r="B599" s="107"/>
      <c r="C599" s="105"/>
      <c r="D599" s="105"/>
      <c r="E599" s="105"/>
      <c r="F599" s="105"/>
      <c r="G599" s="105"/>
      <c r="H599" s="105"/>
      <c r="I599" s="105"/>
      <c r="J599" s="105"/>
      <c r="K599" s="105"/>
      <c r="L599" s="105"/>
      <c r="N599" s="105"/>
      <c r="P599" s="105"/>
    </row>
    <row r="600" spans="2:16">
      <c r="B600" s="107"/>
      <c r="C600" s="105"/>
      <c r="D600" s="105"/>
      <c r="E600" s="105"/>
      <c r="F600" s="105"/>
      <c r="G600" s="105"/>
      <c r="H600" s="105"/>
      <c r="I600" s="105"/>
      <c r="J600" s="105"/>
      <c r="K600" s="105"/>
      <c r="L600" s="105"/>
      <c r="N600" s="105"/>
      <c r="P600" s="105"/>
    </row>
    <row r="601" spans="2:16">
      <c r="B601" s="107"/>
      <c r="C601" s="105"/>
      <c r="D601" s="105"/>
      <c r="E601" s="105"/>
      <c r="F601" s="105"/>
      <c r="G601" s="105"/>
      <c r="H601" s="105"/>
      <c r="I601" s="105"/>
      <c r="J601" s="105"/>
      <c r="K601" s="105"/>
      <c r="L601" s="105"/>
      <c r="N601" s="105"/>
      <c r="P601" s="105"/>
    </row>
    <row r="602" spans="2:16">
      <c r="B602" s="107"/>
      <c r="C602" s="105"/>
      <c r="D602" s="105"/>
      <c r="E602" s="105"/>
      <c r="F602" s="105"/>
      <c r="G602" s="105"/>
      <c r="H602" s="105"/>
      <c r="I602" s="105"/>
      <c r="J602" s="105"/>
      <c r="K602" s="105"/>
      <c r="L602" s="105"/>
      <c r="N602" s="105"/>
      <c r="P602" s="105"/>
    </row>
    <row r="603" spans="2:16">
      <c r="B603" s="107"/>
      <c r="C603" s="105"/>
      <c r="D603" s="105"/>
      <c r="E603" s="105"/>
      <c r="F603" s="105"/>
      <c r="G603" s="105"/>
      <c r="H603" s="105"/>
      <c r="I603" s="105"/>
      <c r="J603" s="105"/>
      <c r="K603" s="105"/>
      <c r="L603" s="105"/>
      <c r="N603" s="105"/>
      <c r="P603" s="105"/>
    </row>
    <row r="604" spans="2:16">
      <c r="B604" s="107"/>
      <c r="C604" s="105"/>
      <c r="D604" s="105"/>
      <c r="E604" s="105"/>
      <c r="F604" s="105"/>
      <c r="G604" s="105"/>
      <c r="H604" s="105"/>
      <c r="I604" s="105"/>
      <c r="J604" s="105"/>
      <c r="K604" s="105"/>
      <c r="L604" s="105"/>
      <c r="N604" s="105"/>
      <c r="P604" s="105"/>
    </row>
    <row r="605" spans="2:16">
      <c r="B605" s="107"/>
      <c r="C605" s="105"/>
      <c r="D605" s="105"/>
      <c r="E605" s="105"/>
      <c r="F605" s="105"/>
      <c r="G605" s="105"/>
      <c r="H605" s="105"/>
      <c r="I605" s="105"/>
      <c r="J605" s="105"/>
      <c r="K605" s="105"/>
      <c r="L605" s="105"/>
      <c r="N605" s="105"/>
      <c r="P605" s="105"/>
    </row>
    <row r="606" spans="2:16">
      <c r="B606" s="107"/>
      <c r="C606" s="105"/>
      <c r="D606" s="105"/>
      <c r="E606" s="105"/>
      <c r="F606" s="105"/>
      <c r="G606" s="105"/>
      <c r="H606" s="105"/>
      <c r="I606" s="105"/>
      <c r="J606" s="105"/>
      <c r="K606" s="105"/>
      <c r="L606" s="105"/>
      <c r="N606" s="105"/>
      <c r="P606" s="105"/>
    </row>
    <row r="607" spans="2:16">
      <c r="B607" s="107"/>
      <c r="C607" s="105"/>
      <c r="D607" s="105"/>
      <c r="E607" s="105"/>
      <c r="F607" s="105"/>
      <c r="G607" s="105"/>
      <c r="H607" s="105"/>
      <c r="I607" s="105"/>
      <c r="J607" s="105"/>
      <c r="K607" s="105"/>
      <c r="L607" s="105"/>
      <c r="N607" s="105"/>
      <c r="P607" s="105"/>
    </row>
    <row r="608" spans="2:16">
      <c r="B608" s="107"/>
      <c r="C608" s="105"/>
      <c r="D608" s="105"/>
      <c r="E608" s="105"/>
      <c r="F608" s="105"/>
      <c r="G608" s="105"/>
      <c r="H608" s="105"/>
      <c r="I608" s="105"/>
      <c r="J608" s="105"/>
      <c r="K608" s="105"/>
      <c r="L608" s="105"/>
      <c r="N608" s="105"/>
      <c r="P608" s="105"/>
    </row>
    <row r="609" spans="2:16">
      <c r="B609" s="107"/>
      <c r="C609" s="105"/>
      <c r="D609" s="105"/>
      <c r="E609" s="105"/>
      <c r="F609" s="105"/>
      <c r="G609" s="105"/>
      <c r="H609" s="105"/>
      <c r="I609" s="105"/>
      <c r="J609" s="105"/>
      <c r="K609" s="105"/>
      <c r="L609" s="105"/>
      <c r="N609" s="105"/>
      <c r="P609" s="105"/>
    </row>
    <row r="610" spans="2:16">
      <c r="B610" s="107"/>
      <c r="C610" s="105"/>
      <c r="D610" s="105"/>
      <c r="E610" s="105"/>
      <c r="F610" s="105"/>
      <c r="G610" s="105"/>
      <c r="H610" s="105"/>
      <c r="I610" s="105"/>
      <c r="J610" s="105"/>
      <c r="K610" s="105"/>
      <c r="L610" s="105"/>
      <c r="N610" s="105"/>
      <c r="P610" s="105"/>
    </row>
    <row r="611" spans="2:16">
      <c r="B611" s="107"/>
      <c r="C611" s="105"/>
      <c r="D611" s="105"/>
      <c r="E611" s="105"/>
      <c r="F611" s="105"/>
      <c r="G611" s="105"/>
      <c r="H611" s="105"/>
      <c r="I611" s="105"/>
      <c r="J611" s="105"/>
      <c r="K611" s="105"/>
      <c r="L611" s="105"/>
      <c r="N611" s="105"/>
      <c r="P611" s="105"/>
    </row>
    <row r="612" spans="2:16">
      <c r="B612" s="107"/>
      <c r="C612" s="105"/>
      <c r="D612" s="105"/>
      <c r="E612" s="105"/>
      <c r="F612" s="105"/>
      <c r="G612" s="105"/>
      <c r="H612" s="105"/>
      <c r="I612" s="105"/>
      <c r="J612" s="105"/>
      <c r="K612" s="105"/>
      <c r="L612" s="105"/>
      <c r="N612" s="105"/>
      <c r="P612" s="105"/>
    </row>
    <row r="613" spans="2:16">
      <c r="B613" s="107"/>
      <c r="C613" s="105"/>
      <c r="D613" s="105"/>
      <c r="E613" s="105"/>
      <c r="F613" s="105"/>
      <c r="G613" s="105"/>
      <c r="H613" s="105"/>
      <c r="I613" s="105"/>
      <c r="J613" s="105"/>
      <c r="K613" s="105"/>
      <c r="L613" s="105"/>
      <c r="N613" s="105"/>
      <c r="P613" s="105"/>
    </row>
    <row r="614" spans="2:16">
      <c r="B614" s="107"/>
      <c r="C614" s="105"/>
      <c r="D614" s="105"/>
      <c r="E614" s="105"/>
      <c r="F614" s="105"/>
      <c r="G614" s="105"/>
      <c r="H614" s="105"/>
      <c r="I614" s="105"/>
      <c r="J614" s="105"/>
      <c r="K614" s="105"/>
      <c r="L614" s="105"/>
      <c r="N614" s="105"/>
      <c r="P614" s="105"/>
    </row>
    <row r="615" spans="2:16">
      <c r="B615" s="107"/>
      <c r="C615" s="105"/>
      <c r="D615" s="105"/>
      <c r="E615" s="105"/>
      <c r="F615" s="105"/>
      <c r="G615" s="105"/>
      <c r="H615" s="105"/>
      <c r="I615" s="105"/>
      <c r="J615" s="105"/>
      <c r="K615" s="105"/>
      <c r="L615" s="105"/>
      <c r="N615" s="105"/>
      <c r="P615" s="105"/>
    </row>
    <row r="616" spans="2:16">
      <c r="B616" s="107"/>
      <c r="C616" s="105"/>
      <c r="D616" s="105"/>
      <c r="E616" s="105"/>
      <c r="F616" s="105"/>
      <c r="G616" s="105"/>
      <c r="H616" s="105"/>
      <c r="I616" s="105"/>
      <c r="J616" s="105"/>
      <c r="K616" s="105"/>
      <c r="L616" s="105"/>
      <c r="N616" s="105"/>
      <c r="P616" s="105"/>
    </row>
    <row r="617" spans="2:16">
      <c r="B617" s="107"/>
      <c r="C617" s="105"/>
      <c r="D617" s="105"/>
      <c r="E617" s="105"/>
      <c r="F617" s="105"/>
      <c r="G617" s="105"/>
      <c r="H617" s="105"/>
      <c r="I617" s="105"/>
      <c r="J617" s="105"/>
      <c r="K617" s="105"/>
      <c r="L617" s="105"/>
      <c r="N617" s="105"/>
      <c r="P617" s="105"/>
    </row>
    <row r="618" spans="2:16">
      <c r="B618" s="107"/>
      <c r="C618" s="105"/>
      <c r="D618" s="105"/>
      <c r="E618" s="105"/>
      <c r="F618" s="105"/>
      <c r="G618" s="105"/>
      <c r="H618" s="105"/>
      <c r="I618" s="105"/>
      <c r="J618" s="105"/>
      <c r="K618" s="105"/>
      <c r="L618" s="105"/>
      <c r="N618" s="105"/>
      <c r="P618" s="105"/>
    </row>
    <row r="619" spans="2:16">
      <c r="B619" s="107"/>
      <c r="C619" s="105"/>
      <c r="D619" s="105"/>
      <c r="E619" s="105"/>
      <c r="F619" s="105"/>
      <c r="G619" s="105"/>
      <c r="H619" s="105"/>
      <c r="I619" s="105"/>
      <c r="J619" s="105"/>
      <c r="K619" s="105"/>
      <c r="L619" s="105"/>
      <c r="N619" s="105"/>
      <c r="P619" s="105"/>
    </row>
    <row r="620" spans="2:16">
      <c r="B620" s="107"/>
      <c r="C620" s="105"/>
      <c r="D620" s="105"/>
      <c r="E620" s="105"/>
      <c r="F620" s="105"/>
      <c r="G620" s="105"/>
      <c r="H620" s="105"/>
      <c r="I620" s="105"/>
      <c r="J620" s="105"/>
      <c r="K620" s="105"/>
      <c r="L620" s="105"/>
      <c r="N620" s="105"/>
      <c r="P620" s="105"/>
    </row>
    <row r="621" spans="2:16">
      <c r="B621" s="107"/>
      <c r="C621" s="105"/>
      <c r="D621" s="105"/>
      <c r="E621" s="105"/>
      <c r="F621" s="105"/>
      <c r="G621" s="105"/>
      <c r="H621" s="105"/>
      <c r="I621" s="105"/>
      <c r="J621" s="105"/>
      <c r="K621" s="105"/>
      <c r="L621" s="105"/>
      <c r="N621" s="105"/>
      <c r="P621" s="105"/>
    </row>
    <row r="622" spans="2:16">
      <c r="B622" s="107"/>
      <c r="C622" s="105"/>
      <c r="D622" s="105"/>
      <c r="E622" s="105"/>
      <c r="F622" s="105"/>
      <c r="G622" s="105"/>
      <c r="H622" s="105"/>
      <c r="I622" s="105"/>
      <c r="J622" s="105"/>
      <c r="K622" s="105"/>
      <c r="L622" s="105"/>
      <c r="N622" s="105"/>
      <c r="P622" s="105"/>
    </row>
    <row r="623" spans="2:16">
      <c r="B623" s="107"/>
      <c r="C623" s="105"/>
      <c r="D623" s="105"/>
      <c r="E623" s="105"/>
      <c r="F623" s="105"/>
      <c r="G623" s="105"/>
      <c r="H623" s="105"/>
      <c r="I623" s="105"/>
      <c r="J623" s="105"/>
      <c r="K623" s="105"/>
      <c r="L623" s="105"/>
      <c r="N623" s="105"/>
      <c r="P623" s="105"/>
    </row>
    <row r="624" spans="2:16">
      <c r="B624" s="107"/>
      <c r="C624" s="105"/>
      <c r="D624" s="105"/>
      <c r="E624" s="105"/>
      <c r="F624" s="105"/>
      <c r="G624" s="105"/>
      <c r="H624" s="105"/>
      <c r="I624" s="105"/>
      <c r="J624" s="105"/>
      <c r="K624" s="105"/>
      <c r="L624" s="105"/>
      <c r="N624" s="105"/>
      <c r="P624" s="105"/>
    </row>
    <row r="625" spans="2:16">
      <c r="B625" s="107"/>
      <c r="C625" s="105"/>
      <c r="D625" s="105"/>
      <c r="E625" s="105"/>
      <c r="F625" s="105"/>
      <c r="G625" s="105"/>
      <c r="H625" s="105"/>
      <c r="I625" s="105"/>
      <c r="J625" s="105"/>
      <c r="K625" s="105"/>
      <c r="L625" s="105"/>
      <c r="N625" s="105"/>
      <c r="P625" s="105"/>
    </row>
    <row r="626" spans="2:16">
      <c r="B626" s="107"/>
      <c r="C626" s="105"/>
      <c r="D626" s="105"/>
      <c r="E626" s="105"/>
      <c r="F626" s="105"/>
      <c r="G626" s="105"/>
      <c r="H626" s="105"/>
      <c r="I626" s="105"/>
      <c r="J626" s="105"/>
      <c r="K626" s="105"/>
      <c r="L626" s="105"/>
      <c r="N626" s="105"/>
      <c r="P626" s="105"/>
    </row>
    <row r="627" spans="2:16">
      <c r="B627" s="107"/>
      <c r="C627" s="105"/>
      <c r="D627" s="105"/>
      <c r="E627" s="105"/>
      <c r="F627" s="105"/>
      <c r="G627" s="105"/>
      <c r="H627" s="105"/>
      <c r="I627" s="105"/>
      <c r="J627" s="105"/>
      <c r="K627" s="105"/>
      <c r="L627" s="105"/>
      <c r="N627" s="105"/>
      <c r="P627" s="105"/>
    </row>
    <row r="628" spans="2:16">
      <c r="B628" s="107"/>
      <c r="C628" s="105"/>
      <c r="D628" s="105"/>
      <c r="E628" s="105"/>
      <c r="F628" s="105"/>
      <c r="G628" s="105"/>
      <c r="H628" s="105"/>
      <c r="I628" s="105"/>
      <c r="J628" s="105"/>
      <c r="K628" s="105"/>
      <c r="L628" s="105"/>
      <c r="N628" s="105"/>
      <c r="P628" s="105"/>
    </row>
    <row r="629" spans="2:16">
      <c r="B629" s="107"/>
      <c r="C629" s="105"/>
      <c r="D629" s="105"/>
      <c r="E629" s="105"/>
      <c r="F629" s="105"/>
      <c r="G629" s="105"/>
      <c r="H629" s="105"/>
      <c r="I629" s="105"/>
      <c r="J629" s="105"/>
      <c r="K629" s="105"/>
      <c r="L629" s="105"/>
      <c r="N629" s="105"/>
      <c r="P629" s="105"/>
    </row>
    <row r="630" spans="2:16">
      <c r="B630" s="107"/>
      <c r="C630" s="105"/>
      <c r="D630" s="105"/>
      <c r="E630" s="105"/>
      <c r="F630" s="105"/>
      <c r="G630" s="105"/>
      <c r="H630" s="105"/>
      <c r="I630" s="105"/>
      <c r="J630" s="105"/>
      <c r="K630" s="105"/>
      <c r="L630" s="105"/>
      <c r="N630" s="105"/>
      <c r="P630" s="105"/>
    </row>
    <row r="631" spans="2:16">
      <c r="B631" s="107"/>
      <c r="C631" s="105"/>
      <c r="D631" s="105"/>
      <c r="E631" s="105"/>
      <c r="F631" s="105"/>
      <c r="G631" s="105"/>
      <c r="H631" s="105"/>
      <c r="I631" s="105"/>
      <c r="J631" s="105"/>
      <c r="K631" s="105"/>
      <c r="L631" s="105"/>
      <c r="N631" s="105"/>
      <c r="P631" s="105"/>
    </row>
    <row r="632" spans="2:16">
      <c r="B632" s="107"/>
      <c r="C632" s="105"/>
      <c r="D632" s="105"/>
      <c r="E632" s="105"/>
      <c r="F632" s="105"/>
      <c r="G632" s="105"/>
      <c r="H632" s="105"/>
      <c r="I632" s="105"/>
      <c r="J632" s="105"/>
      <c r="K632" s="105"/>
      <c r="L632" s="105"/>
      <c r="N632" s="105"/>
      <c r="P632" s="105"/>
    </row>
    <row r="633" spans="2:16">
      <c r="B633" s="107"/>
      <c r="C633" s="105"/>
      <c r="D633" s="105"/>
      <c r="E633" s="105"/>
      <c r="F633" s="105"/>
      <c r="G633" s="105"/>
      <c r="H633" s="105"/>
      <c r="I633" s="105"/>
      <c r="J633" s="105"/>
      <c r="K633" s="105"/>
      <c r="L633" s="105"/>
      <c r="N633" s="105"/>
      <c r="P633" s="105"/>
    </row>
    <row r="634" spans="2:16">
      <c r="B634" s="107"/>
      <c r="C634" s="105"/>
      <c r="D634" s="105"/>
      <c r="E634" s="105"/>
      <c r="F634" s="105"/>
      <c r="G634" s="105"/>
      <c r="H634" s="105"/>
      <c r="I634" s="105"/>
      <c r="J634" s="105"/>
      <c r="K634" s="105"/>
      <c r="L634" s="105"/>
      <c r="N634" s="105"/>
      <c r="P634" s="105"/>
    </row>
    <row r="635" spans="2:16">
      <c r="B635" s="107"/>
      <c r="C635" s="105"/>
      <c r="D635" s="105"/>
      <c r="E635" s="105"/>
      <c r="F635" s="105"/>
      <c r="G635" s="105"/>
      <c r="H635" s="105"/>
      <c r="I635" s="105"/>
      <c r="J635" s="105"/>
      <c r="K635" s="105"/>
      <c r="L635" s="105"/>
      <c r="N635" s="105"/>
      <c r="P635" s="105"/>
    </row>
    <row r="636" spans="2:16">
      <c r="B636" s="107"/>
      <c r="C636" s="105"/>
      <c r="D636" s="105"/>
      <c r="E636" s="105"/>
      <c r="F636" s="105"/>
      <c r="G636" s="105"/>
      <c r="H636" s="105"/>
      <c r="I636" s="105"/>
      <c r="J636" s="105"/>
      <c r="K636" s="105"/>
      <c r="L636" s="105"/>
      <c r="N636" s="105"/>
      <c r="P636" s="105"/>
    </row>
    <row r="637" spans="2:16">
      <c r="B637" s="107"/>
      <c r="C637" s="105"/>
      <c r="D637" s="105"/>
      <c r="E637" s="105"/>
      <c r="F637" s="105"/>
      <c r="G637" s="105"/>
      <c r="H637" s="105"/>
      <c r="I637" s="105"/>
      <c r="J637" s="105"/>
      <c r="K637" s="105"/>
      <c r="L637" s="105"/>
      <c r="N637" s="105"/>
      <c r="P637" s="105"/>
    </row>
    <row r="638" spans="2:16">
      <c r="B638" s="107"/>
      <c r="C638" s="105"/>
      <c r="D638" s="105"/>
      <c r="E638" s="105"/>
      <c r="F638" s="105"/>
      <c r="G638" s="105"/>
      <c r="H638" s="105"/>
      <c r="I638" s="105"/>
      <c r="J638" s="105"/>
      <c r="K638" s="105"/>
      <c r="L638" s="105"/>
      <c r="N638" s="105"/>
      <c r="P638" s="105"/>
    </row>
    <row r="639" spans="2:16">
      <c r="B639" s="107"/>
      <c r="C639" s="105"/>
      <c r="D639" s="105"/>
      <c r="E639" s="105"/>
      <c r="F639" s="105"/>
      <c r="G639" s="105"/>
      <c r="H639" s="105"/>
      <c r="I639" s="105"/>
      <c r="J639" s="105"/>
      <c r="K639" s="105"/>
      <c r="L639" s="105"/>
      <c r="N639" s="105"/>
      <c r="P639" s="105"/>
    </row>
    <row r="640" spans="2:16">
      <c r="B640" s="107"/>
      <c r="C640" s="105"/>
      <c r="D640" s="105"/>
      <c r="E640" s="105"/>
      <c r="F640" s="105"/>
      <c r="G640" s="105"/>
      <c r="H640" s="105"/>
      <c r="I640" s="105"/>
      <c r="J640" s="105"/>
      <c r="K640" s="105"/>
      <c r="L640" s="105"/>
      <c r="N640" s="105"/>
      <c r="P640" s="105"/>
    </row>
    <row r="641" spans="2:16">
      <c r="B641" s="107"/>
      <c r="C641" s="105"/>
      <c r="D641" s="105"/>
      <c r="E641" s="105"/>
      <c r="F641" s="105"/>
      <c r="G641" s="105"/>
      <c r="H641" s="105"/>
      <c r="I641" s="105"/>
      <c r="J641" s="105"/>
      <c r="K641" s="105"/>
      <c r="L641" s="105"/>
      <c r="N641" s="105"/>
      <c r="P641" s="105"/>
    </row>
    <row r="642" spans="2:16">
      <c r="B642" s="107"/>
      <c r="C642" s="105"/>
      <c r="D642" s="105"/>
      <c r="E642" s="105"/>
      <c r="F642" s="105"/>
      <c r="G642" s="105"/>
      <c r="H642" s="105"/>
      <c r="I642" s="105"/>
      <c r="J642" s="105"/>
      <c r="K642" s="105"/>
      <c r="L642" s="105"/>
      <c r="N642" s="105"/>
      <c r="P642" s="105"/>
    </row>
    <row r="643" spans="2:16">
      <c r="B643" s="107"/>
      <c r="C643" s="105"/>
      <c r="D643" s="105"/>
      <c r="E643" s="105"/>
      <c r="F643" s="105"/>
      <c r="G643" s="105"/>
      <c r="H643" s="105"/>
      <c r="I643" s="105"/>
      <c r="J643" s="105"/>
      <c r="K643" s="105"/>
      <c r="L643" s="105"/>
      <c r="N643" s="105"/>
      <c r="P643" s="105"/>
    </row>
    <row r="644" spans="2:16">
      <c r="B644" s="107"/>
      <c r="C644" s="105"/>
      <c r="D644" s="105"/>
      <c r="E644" s="105"/>
      <c r="F644" s="105"/>
      <c r="G644" s="105"/>
      <c r="H644" s="105"/>
      <c r="I644" s="105"/>
      <c r="J644" s="105"/>
      <c r="K644" s="105"/>
      <c r="L644" s="105"/>
      <c r="N644" s="105"/>
      <c r="P644" s="105"/>
    </row>
    <row r="645" spans="2:16">
      <c r="B645" s="107"/>
      <c r="C645" s="105"/>
      <c r="D645" s="105"/>
      <c r="E645" s="105"/>
      <c r="F645" s="105"/>
      <c r="G645" s="105"/>
      <c r="H645" s="105"/>
      <c r="I645" s="105"/>
      <c r="J645" s="105"/>
      <c r="K645" s="105"/>
      <c r="L645" s="105"/>
      <c r="N645" s="105"/>
      <c r="P645" s="105"/>
    </row>
    <row r="646" spans="2:16">
      <c r="B646" s="107"/>
      <c r="C646" s="105"/>
      <c r="D646" s="105"/>
      <c r="E646" s="105"/>
      <c r="F646" s="105"/>
      <c r="G646" s="105"/>
      <c r="H646" s="105"/>
      <c r="I646" s="105"/>
      <c r="J646" s="105"/>
      <c r="K646" s="105"/>
      <c r="L646" s="105"/>
      <c r="N646" s="105"/>
      <c r="P646" s="105"/>
    </row>
    <row r="647" spans="2:16">
      <c r="B647" s="107"/>
      <c r="C647" s="105"/>
      <c r="D647" s="105"/>
      <c r="E647" s="105"/>
      <c r="F647" s="105"/>
      <c r="G647" s="105"/>
      <c r="H647" s="105"/>
      <c r="I647" s="105"/>
      <c r="J647" s="105"/>
      <c r="K647" s="105"/>
      <c r="L647" s="105"/>
      <c r="N647" s="105"/>
      <c r="P647" s="105"/>
    </row>
    <row r="648" spans="2:16">
      <c r="B648" s="107"/>
      <c r="C648" s="105"/>
      <c r="D648" s="105"/>
      <c r="E648" s="105"/>
      <c r="F648" s="105"/>
      <c r="G648" s="105"/>
      <c r="H648" s="105"/>
      <c r="I648" s="105"/>
      <c r="J648" s="105"/>
      <c r="K648" s="105"/>
      <c r="L648" s="105"/>
      <c r="N648" s="105"/>
      <c r="P648" s="105"/>
    </row>
    <row r="649" spans="2:16">
      <c r="B649" s="107"/>
      <c r="C649" s="105"/>
      <c r="D649" s="105"/>
      <c r="E649" s="105"/>
      <c r="F649" s="105"/>
      <c r="G649" s="105"/>
      <c r="H649" s="105"/>
      <c r="I649" s="105"/>
      <c r="J649" s="105"/>
      <c r="K649" s="105"/>
      <c r="L649" s="105"/>
      <c r="N649" s="105"/>
      <c r="P649" s="105"/>
    </row>
    <row r="650" spans="2:16">
      <c r="B650" s="107"/>
      <c r="C650" s="105"/>
      <c r="D650" s="105"/>
      <c r="E650" s="105"/>
      <c r="F650" s="105"/>
      <c r="G650" s="105"/>
      <c r="H650" s="105"/>
      <c r="I650" s="105"/>
      <c r="J650" s="105"/>
      <c r="K650" s="105"/>
      <c r="L650" s="105"/>
      <c r="N650" s="105"/>
      <c r="P650" s="105"/>
    </row>
    <row r="651" spans="2:16">
      <c r="B651" s="107"/>
      <c r="C651" s="105"/>
      <c r="D651" s="105"/>
      <c r="E651" s="105"/>
      <c r="F651" s="105"/>
      <c r="G651" s="105"/>
      <c r="H651" s="105"/>
      <c r="I651" s="105"/>
      <c r="J651" s="105"/>
      <c r="K651" s="105"/>
      <c r="L651" s="105"/>
      <c r="N651" s="105"/>
      <c r="P651" s="105"/>
    </row>
    <row r="652" spans="2:16">
      <c r="B652" s="107"/>
      <c r="C652" s="105"/>
      <c r="D652" s="105"/>
      <c r="E652" s="105"/>
      <c r="F652" s="105"/>
      <c r="G652" s="105"/>
      <c r="H652" s="105"/>
      <c r="I652" s="105"/>
      <c r="J652" s="105"/>
      <c r="K652" s="105"/>
      <c r="L652" s="105"/>
      <c r="N652" s="105"/>
      <c r="P652" s="105"/>
    </row>
    <row r="653" spans="2:16">
      <c r="B653" s="107"/>
      <c r="C653" s="105"/>
      <c r="D653" s="105"/>
      <c r="E653" s="105"/>
      <c r="F653" s="105"/>
      <c r="G653" s="105"/>
      <c r="H653" s="105"/>
      <c r="I653" s="105"/>
      <c r="J653" s="105"/>
      <c r="K653" s="105"/>
      <c r="L653" s="105"/>
      <c r="N653" s="105"/>
      <c r="P653" s="105"/>
    </row>
    <row r="654" spans="2:16">
      <c r="B654" s="107"/>
      <c r="C654" s="105"/>
      <c r="D654" s="105"/>
      <c r="E654" s="105"/>
      <c r="F654" s="105"/>
      <c r="G654" s="105"/>
      <c r="H654" s="105"/>
      <c r="I654" s="105"/>
      <c r="J654" s="105"/>
      <c r="K654" s="105"/>
      <c r="L654" s="105"/>
      <c r="N654" s="105"/>
      <c r="P654" s="105"/>
    </row>
    <row r="655" spans="2:16">
      <c r="B655" s="107"/>
      <c r="C655" s="105"/>
      <c r="D655" s="105"/>
      <c r="E655" s="105"/>
      <c r="F655" s="105"/>
      <c r="G655" s="105"/>
      <c r="H655" s="105"/>
      <c r="I655" s="105"/>
      <c r="J655" s="105"/>
      <c r="K655" s="105"/>
      <c r="L655" s="105"/>
      <c r="N655" s="105"/>
      <c r="P655" s="105"/>
    </row>
    <row r="656" spans="2:16">
      <c r="B656" s="107"/>
      <c r="C656" s="105"/>
      <c r="D656" s="105"/>
      <c r="E656" s="105"/>
      <c r="F656" s="105"/>
      <c r="G656" s="105"/>
      <c r="H656" s="105"/>
      <c r="I656" s="105"/>
      <c r="J656" s="105"/>
      <c r="K656" s="105"/>
      <c r="L656" s="105"/>
      <c r="N656" s="105"/>
      <c r="P656" s="105"/>
    </row>
    <row r="657" spans="2:16">
      <c r="B657" s="107"/>
      <c r="C657" s="105"/>
      <c r="D657" s="105"/>
      <c r="E657" s="105"/>
      <c r="F657" s="105"/>
      <c r="G657" s="105"/>
      <c r="H657" s="105"/>
      <c r="I657" s="105"/>
      <c r="J657" s="105"/>
      <c r="K657" s="105"/>
      <c r="L657" s="105"/>
      <c r="N657" s="105"/>
      <c r="P657" s="105"/>
    </row>
    <row r="658" spans="2:16">
      <c r="B658" s="107"/>
      <c r="C658" s="105"/>
      <c r="D658" s="105"/>
      <c r="E658" s="105"/>
      <c r="F658" s="105"/>
      <c r="G658" s="105"/>
      <c r="H658" s="105"/>
      <c r="I658" s="105"/>
      <c r="J658" s="105"/>
      <c r="K658" s="105"/>
      <c r="L658" s="105"/>
      <c r="N658" s="105"/>
      <c r="P658" s="105"/>
    </row>
    <row r="659" spans="2:16">
      <c r="B659" s="107"/>
      <c r="C659" s="105"/>
      <c r="D659" s="105"/>
      <c r="E659" s="105"/>
      <c r="F659" s="105"/>
      <c r="G659" s="105"/>
      <c r="H659" s="105"/>
      <c r="I659" s="105"/>
      <c r="J659" s="105"/>
      <c r="K659" s="105"/>
      <c r="L659" s="105"/>
      <c r="N659" s="105"/>
      <c r="P659" s="105"/>
    </row>
    <row r="660" spans="2:16">
      <c r="B660" s="107"/>
      <c r="C660" s="105"/>
      <c r="D660" s="105"/>
      <c r="E660" s="105"/>
      <c r="F660" s="105"/>
      <c r="G660" s="105"/>
      <c r="H660" s="105"/>
      <c r="I660" s="105"/>
      <c r="J660" s="105"/>
      <c r="K660" s="105"/>
      <c r="L660" s="105"/>
      <c r="N660" s="105"/>
      <c r="P660" s="105"/>
    </row>
    <row r="661" spans="2:16">
      <c r="B661" s="107"/>
      <c r="C661" s="105"/>
      <c r="D661" s="105"/>
      <c r="E661" s="105"/>
      <c r="F661" s="105"/>
      <c r="G661" s="105"/>
      <c r="H661" s="105"/>
      <c r="I661" s="105"/>
      <c r="J661" s="105"/>
      <c r="K661" s="105"/>
      <c r="L661" s="105"/>
      <c r="N661" s="105"/>
      <c r="P661" s="105"/>
    </row>
    <row r="662" spans="2:16">
      <c r="B662" s="107"/>
      <c r="C662" s="105"/>
      <c r="D662" s="105"/>
      <c r="E662" s="105"/>
      <c r="F662" s="105"/>
      <c r="G662" s="105"/>
      <c r="H662" s="105"/>
      <c r="I662" s="105"/>
      <c r="J662" s="105"/>
      <c r="K662" s="105"/>
      <c r="L662" s="105"/>
      <c r="N662" s="105"/>
      <c r="P662" s="105"/>
    </row>
    <row r="663" spans="2:16">
      <c r="B663" s="107"/>
      <c r="C663" s="105"/>
      <c r="D663" s="105"/>
      <c r="E663" s="105"/>
      <c r="F663" s="105"/>
      <c r="G663" s="105"/>
      <c r="H663" s="105"/>
      <c r="I663" s="105"/>
      <c r="J663" s="105"/>
      <c r="K663" s="105"/>
      <c r="L663" s="105"/>
      <c r="N663" s="105"/>
      <c r="P663" s="105"/>
    </row>
    <row r="664" spans="2:16">
      <c r="B664" s="107"/>
      <c r="C664" s="105"/>
      <c r="D664" s="105"/>
      <c r="E664" s="105"/>
      <c r="F664" s="105"/>
      <c r="G664" s="105"/>
      <c r="H664" s="105"/>
      <c r="I664" s="105"/>
      <c r="J664" s="105"/>
      <c r="K664" s="105"/>
      <c r="L664" s="105"/>
      <c r="N664" s="105"/>
      <c r="P664" s="105"/>
    </row>
    <row r="665" spans="2:16">
      <c r="B665" s="107"/>
      <c r="C665" s="105"/>
      <c r="D665" s="105"/>
      <c r="E665" s="105"/>
      <c r="F665" s="105"/>
      <c r="G665" s="105"/>
      <c r="H665" s="105"/>
      <c r="I665" s="105"/>
      <c r="J665" s="105"/>
      <c r="K665" s="105"/>
      <c r="L665" s="105"/>
      <c r="N665" s="105"/>
      <c r="P665" s="105"/>
    </row>
    <row r="666" spans="2:16">
      <c r="B666" s="107"/>
      <c r="C666" s="105"/>
      <c r="D666" s="105"/>
      <c r="E666" s="105"/>
      <c r="F666" s="105"/>
      <c r="G666" s="105"/>
      <c r="H666" s="105"/>
      <c r="I666" s="105"/>
      <c r="J666" s="105"/>
      <c r="K666" s="105"/>
      <c r="L666" s="105"/>
      <c r="N666" s="105"/>
      <c r="P666" s="105"/>
    </row>
    <row r="667" spans="2:16">
      <c r="B667" s="107"/>
      <c r="C667" s="105"/>
      <c r="D667" s="105"/>
      <c r="E667" s="105"/>
      <c r="F667" s="105"/>
      <c r="G667" s="105"/>
      <c r="H667" s="105"/>
      <c r="I667" s="105"/>
      <c r="J667" s="105"/>
      <c r="K667" s="105"/>
      <c r="L667" s="105"/>
      <c r="N667" s="105"/>
      <c r="P667" s="105"/>
    </row>
    <row r="668" spans="2:16">
      <c r="B668" s="107"/>
      <c r="C668" s="105"/>
      <c r="D668" s="105"/>
      <c r="E668" s="105"/>
      <c r="F668" s="105"/>
      <c r="G668" s="105"/>
      <c r="H668" s="105"/>
      <c r="I668" s="105"/>
      <c r="J668" s="105"/>
      <c r="K668" s="105"/>
      <c r="L668" s="105"/>
      <c r="N668" s="105"/>
      <c r="P668" s="105"/>
    </row>
    <row r="669" spans="2:16">
      <c r="B669" s="107"/>
      <c r="C669" s="105"/>
      <c r="D669" s="105"/>
      <c r="E669" s="105"/>
      <c r="F669" s="105"/>
      <c r="G669" s="105"/>
      <c r="H669" s="105"/>
      <c r="I669" s="105"/>
      <c r="J669" s="105"/>
      <c r="K669" s="105"/>
      <c r="L669" s="105"/>
      <c r="N669" s="105"/>
      <c r="P669" s="105"/>
    </row>
    <row r="670" spans="2:16">
      <c r="B670" s="107"/>
      <c r="C670" s="105"/>
      <c r="D670" s="105"/>
      <c r="E670" s="105"/>
      <c r="F670" s="105"/>
      <c r="G670" s="105"/>
      <c r="H670" s="105"/>
      <c r="I670" s="105"/>
      <c r="J670" s="105"/>
      <c r="K670" s="105"/>
      <c r="L670" s="105"/>
      <c r="N670" s="105"/>
      <c r="P670" s="105"/>
    </row>
    <row r="671" spans="2:16">
      <c r="B671" s="107"/>
      <c r="C671" s="105"/>
      <c r="D671" s="105"/>
      <c r="E671" s="105"/>
      <c r="F671" s="105"/>
      <c r="G671" s="105"/>
      <c r="H671" s="105"/>
      <c r="I671" s="105"/>
      <c r="J671" s="105"/>
      <c r="K671" s="105"/>
      <c r="L671" s="105"/>
      <c r="N671" s="105"/>
      <c r="P671" s="105"/>
    </row>
    <row r="672" spans="2:16">
      <c r="B672" s="107"/>
      <c r="C672" s="105"/>
      <c r="D672" s="105"/>
      <c r="E672" s="105"/>
      <c r="F672" s="105"/>
      <c r="G672" s="105"/>
      <c r="H672" s="105"/>
      <c r="I672" s="105"/>
      <c r="J672" s="105"/>
      <c r="K672" s="105"/>
      <c r="L672" s="105"/>
      <c r="N672" s="105"/>
      <c r="P672" s="105"/>
    </row>
    <row r="673" spans="2:16">
      <c r="B673" s="107"/>
      <c r="C673" s="105"/>
      <c r="D673" s="105"/>
      <c r="E673" s="105"/>
      <c r="F673" s="105"/>
      <c r="G673" s="105"/>
      <c r="H673" s="105"/>
      <c r="I673" s="105"/>
      <c r="J673" s="105"/>
      <c r="K673" s="105"/>
      <c r="L673" s="105"/>
      <c r="N673" s="105"/>
      <c r="P673" s="105"/>
    </row>
    <row r="674" spans="2:16">
      <c r="B674" s="107"/>
      <c r="C674" s="105"/>
      <c r="D674" s="105"/>
      <c r="E674" s="105"/>
      <c r="F674" s="105"/>
      <c r="G674" s="105"/>
      <c r="H674" s="105"/>
      <c r="I674" s="105"/>
      <c r="J674" s="105"/>
      <c r="K674" s="105"/>
      <c r="L674" s="105"/>
      <c r="N674" s="105"/>
      <c r="P674" s="105"/>
    </row>
    <row r="675" spans="2:16">
      <c r="B675" s="107"/>
      <c r="C675" s="105"/>
      <c r="D675" s="105"/>
      <c r="E675" s="105"/>
      <c r="F675" s="105"/>
      <c r="G675" s="105"/>
      <c r="H675" s="105"/>
      <c r="I675" s="105"/>
      <c r="J675" s="105"/>
      <c r="K675" s="105"/>
      <c r="L675" s="105"/>
      <c r="N675" s="105"/>
      <c r="P675" s="105"/>
    </row>
    <row r="676" spans="2:16">
      <c r="B676" s="107"/>
      <c r="C676" s="105"/>
      <c r="D676" s="105"/>
      <c r="E676" s="105"/>
      <c r="F676" s="105"/>
      <c r="G676" s="105"/>
      <c r="H676" s="105"/>
      <c r="I676" s="105"/>
      <c r="J676" s="105"/>
      <c r="K676" s="105"/>
      <c r="L676" s="105"/>
      <c r="N676" s="105"/>
      <c r="P676" s="105"/>
    </row>
    <row r="677" spans="2:16">
      <c r="B677" s="107"/>
      <c r="C677" s="105"/>
      <c r="D677" s="105"/>
      <c r="E677" s="105"/>
      <c r="F677" s="105"/>
      <c r="G677" s="105"/>
      <c r="H677" s="105"/>
      <c r="I677" s="105"/>
      <c r="J677" s="105"/>
      <c r="K677" s="105"/>
      <c r="L677" s="105"/>
      <c r="N677" s="105"/>
      <c r="P677" s="105"/>
    </row>
    <row r="678" spans="2:16">
      <c r="B678" s="107"/>
      <c r="C678" s="105"/>
      <c r="D678" s="105"/>
      <c r="E678" s="105"/>
      <c r="F678" s="105"/>
      <c r="G678" s="105"/>
      <c r="H678" s="105"/>
      <c r="I678" s="105"/>
      <c r="J678" s="105"/>
      <c r="K678" s="105"/>
      <c r="L678" s="105"/>
      <c r="N678" s="105"/>
      <c r="P678" s="105"/>
    </row>
    <row r="679" spans="2:16">
      <c r="B679" s="107"/>
      <c r="C679" s="105"/>
      <c r="D679" s="105"/>
      <c r="E679" s="105"/>
      <c r="F679" s="105"/>
      <c r="G679" s="105"/>
      <c r="H679" s="105"/>
      <c r="I679" s="105"/>
      <c r="J679" s="105"/>
      <c r="K679" s="105"/>
      <c r="L679" s="105"/>
      <c r="N679" s="105"/>
      <c r="P679" s="105"/>
    </row>
    <row r="680" spans="2:16">
      <c r="B680" s="107"/>
      <c r="C680" s="105"/>
      <c r="D680" s="105"/>
      <c r="E680" s="105"/>
      <c r="F680" s="105"/>
      <c r="G680" s="105"/>
      <c r="H680" s="105"/>
      <c r="I680" s="105"/>
      <c r="J680" s="105"/>
      <c r="K680" s="105"/>
      <c r="L680" s="105"/>
      <c r="N680" s="105"/>
      <c r="P680" s="105"/>
    </row>
    <row r="681" spans="2:16">
      <c r="B681" s="107"/>
      <c r="C681" s="105"/>
      <c r="D681" s="105"/>
      <c r="E681" s="105"/>
      <c r="F681" s="105"/>
      <c r="G681" s="105"/>
      <c r="H681" s="105"/>
      <c r="I681" s="105"/>
      <c r="J681" s="105"/>
      <c r="K681" s="105"/>
      <c r="L681" s="105"/>
      <c r="N681" s="105"/>
      <c r="P681" s="105"/>
    </row>
    <row r="682" spans="2:16">
      <c r="B682" s="107"/>
      <c r="C682" s="105"/>
      <c r="D682" s="105"/>
      <c r="E682" s="105"/>
      <c r="F682" s="105"/>
      <c r="G682" s="105"/>
      <c r="H682" s="105"/>
      <c r="I682" s="105"/>
      <c r="J682" s="105"/>
      <c r="K682" s="105"/>
      <c r="L682" s="105"/>
      <c r="N682" s="105"/>
      <c r="P682" s="105"/>
    </row>
    <row r="683" spans="2:16">
      <c r="B683" s="107"/>
      <c r="C683" s="105"/>
      <c r="D683" s="105"/>
      <c r="E683" s="105"/>
      <c r="F683" s="105"/>
      <c r="G683" s="105"/>
      <c r="H683" s="105"/>
      <c r="I683" s="105"/>
      <c r="J683" s="105"/>
      <c r="K683" s="105"/>
      <c r="L683" s="105"/>
      <c r="N683" s="105"/>
      <c r="P683" s="105"/>
    </row>
    <row r="684" spans="2:16">
      <c r="B684" s="107"/>
      <c r="C684" s="105"/>
      <c r="D684" s="105"/>
      <c r="E684" s="105"/>
      <c r="F684" s="105"/>
      <c r="G684" s="105"/>
      <c r="H684" s="105"/>
      <c r="I684" s="105"/>
      <c r="J684" s="105"/>
      <c r="K684" s="105"/>
      <c r="L684" s="105"/>
      <c r="N684" s="105"/>
      <c r="P684" s="105"/>
    </row>
    <row r="685" spans="2:16">
      <c r="B685" s="107"/>
      <c r="C685" s="105"/>
      <c r="D685" s="105"/>
      <c r="E685" s="105"/>
      <c r="F685" s="105"/>
      <c r="G685" s="105"/>
      <c r="H685" s="105"/>
      <c r="I685" s="105"/>
      <c r="J685" s="105"/>
      <c r="K685" s="105"/>
      <c r="L685" s="105"/>
      <c r="N685" s="105"/>
      <c r="P685" s="105"/>
    </row>
    <row r="686" spans="2:16">
      <c r="B686" s="107"/>
      <c r="C686" s="105"/>
      <c r="D686" s="105"/>
      <c r="E686" s="105"/>
      <c r="F686" s="105"/>
      <c r="G686" s="105"/>
      <c r="H686" s="105"/>
      <c r="I686" s="105"/>
      <c r="J686" s="105"/>
      <c r="K686" s="105"/>
      <c r="L686" s="105"/>
      <c r="N686" s="105"/>
      <c r="P686" s="105"/>
    </row>
    <row r="687" spans="2:16">
      <c r="B687" s="107"/>
      <c r="C687" s="105"/>
      <c r="D687" s="105"/>
      <c r="E687" s="105"/>
      <c r="F687" s="105"/>
      <c r="G687" s="105"/>
      <c r="H687" s="105"/>
      <c r="I687" s="105"/>
      <c r="J687" s="105"/>
      <c r="K687" s="105"/>
      <c r="L687" s="105"/>
      <c r="N687" s="105"/>
      <c r="P687" s="105"/>
    </row>
    <row r="688" spans="2:16">
      <c r="B688" s="107"/>
      <c r="C688" s="105"/>
      <c r="D688" s="105"/>
      <c r="E688" s="105"/>
      <c r="F688" s="105"/>
      <c r="G688" s="105"/>
      <c r="H688" s="105"/>
      <c r="I688" s="105"/>
      <c r="J688" s="105"/>
      <c r="K688" s="105"/>
      <c r="L688" s="105"/>
      <c r="N688" s="105"/>
      <c r="P688" s="105"/>
    </row>
    <row r="689" spans="2:16">
      <c r="B689" s="107"/>
      <c r="C689" s="105"/>
      <c r="D689" s="105"/>
      <c r="E689" s="105"/>
      <c r="F689" s="105"/>
      <c r="G689" s="105"/>
      <c r="H689" s="105"/>
      <c r="I689" s="105"/>
      <c r="J689" s="105"/>
      <c r="K689" s="105"/>
      <c r="L689" s="105"/>
      <c r="N689" s="105"/>
      <c r="P689" s="105"/>
    </row>
    <row r="690" spans="2:16">
      <c r="B690" s="107"/>
      <c r="C690" s="105"/>
      <c r="D690" s="105"/>
      <c r="E690" s="105"/>
      <c r="F690" s="105"/>
      <c r="G690" s="105"/>
      <c r="H690" s="105"/>
      <c r="I690" s="105"/>
      <c r="J690" s="105"/>
      <c r="K690" s="105"/>
      <c r="L690" s="105"/>
      <c r="N690" s="105"/>
      <c r="P690" s="105"/>
    </row>
    <row r="691" spans="2:16">
      <c r="B691" s="107"/>
      <c r="C691" s="105"/>
      <c r="D691" s="105"/>
      <c r="E691" s="105"/>
      <c r="F691" s="105"/>
      <c r="G691" s="105"/>
      <c r="H691" s="105"/>
      <c r="I691" s="105"/>
      <c r="J691" s="105"/>
      <c r="K691" s="105"/>
      <c r="L691" s="105"/>
      <c r="N691" s="105"/>
      <c r="P691" s="105"/>
    </row>
    <row r="692" spans="2:16">
      <c r="B692" s="107"/>
      <c r="C692" s="105"/>
      <c r="D692" s="105"/>
      <c r="E692" s="105"/>
      <c r="F692" s="105"/>
      <c r="G692" s="105"/>
      <c r="H692" s="105"/>
      <c r="I692" s="105"/>
      <c r="J692" s="105"/>
      <c r="K692" s="105"/>
      <c r="L692" s="105"/>
      <c r="N692" s="105"/>
      <c r="P692" s="105"/>
    </row>
    <row r="693" spans="2:16">
      <c r="B693" s="107"/>
      <c r="C693" s="105"/>
      <c r="D693" s="105"/>
      <c r="E693" s="105"/>
      <c r="F693" s="105"/>
      <c r="G693" s="105"/>
      <c r="H693" s="105"/>
      <c r="I693" s="105"/>
      <c r="J693" s="105"/>
      <c r="K693" s="105"/>
      <c r="L693" s="105"/>
      <c r="N693" s="105"/>
      <c r="P693" s="105"/>
    </row>
    <row r="694" spans="2:16">
      <c r="B694" s="107"/>
      <c r="C694" s="105"/>
      <c r="D694" s="105"/>
      <c r="E694" s="105"/>
      <c r="F694" s="105"/>
      <c r="G694" s="105"/>
      <c r="H694" s="105"/>
      <c r="I694" s="105"/>
      <c r="J694" s="105"/>
      <c r="K694" s="105"/>
      <c r="L694" s="105"/>
      <c r="N694" s="105"/>
      <c r="P694" s="105"/>
    </row>
    <row r="695" spans="2:16">
      <c r="B695" s="107"/>
      <c r="C695" s="105"/>
      <c r="D695" s="105"/>
      <c r="E695" s="105"/>
      <c r="F695" s="105"/>
      <c r="G695" s="105"/>
      <c r="H695" s="105"/>
      <c r="I695" s="105"/>
      <c r="J695" s="105"/>
      <c r="K695" s="105"/>
      <c r="L695" s="105"/>
      <c r="N695" s="105"/>
      <c r="P695" s="105"/>
    </row>
    <row r="696" spans="2:16">
      <c r="B696" s="107"/>
      <c r="C696" s="105"/>
      <c r="D696" s="105"/>
      <c r="E696" s="105"/>
      <c r="F696" s="105"/>
      <c r="G696" s="105"/>
      <c r="H696" s="105"/>
      <c r="I696" s="105"/>
      <c r="J696" s="105"/>
      <c r="K696" s="105"/>
      <c r="L696" s="105"/>
      <c r="N696" s="105"/>
      <c r="P696" s="105"/>
    </row>
    <row r="697" spans="2:16">
      <c r="B697" s="107"/>
      <c r="C697" s="105"/>
      <c r="D697" s="105"/>
      <c r="E697" s="105"/>
      <c r="F697" s="105"/>
      <c r="G697" s="105"/>
      <c r="H697" s="105"/>
      <c r="I697" s="105"/>
      <c r="J697" s="105"/>
      <c r="K697" s="105"/>
      <c r="L697" s="105"/>
      <c r="N697" s="105"/>
      <c r="P697" s="105"/>
    </row>
    <row r="698" spans="2:16">
      <c r="B698" s="107"/>
      <c r="C698" s="105"/>
      <c r="D698" s="105"/>
      <c r="E698" s="105"/>
      <c r="F698" s="105"/>
      <c r="G698" s="105"/>
      <c r="H698" s="105"/>
      <c r="I698" s="105"/>
      <c r="J698" s="105"/>
      <c r="K698" s="105"/>
      <c r="L698" s="105"/>
      <c r="N698" s="105"/>
      <c r="P698" s="105"/>
    </row>
    <row r="699" spans="2:16">
      <c r="B699" s="107"/>
      <c r="C699" s="105"/>
      <c r="D699" s="105"/>
      <c r="E699" s="105"/>
      <c r="F699" s="105"/>
      <c r="G699" s="105"/>
      <c r="H699" s="105"/>
      <c r="I699" s="105"/>
      <c r="J699" s="105"/>
      <c r="K699" s="105"/>
      <c r="L699" s="105"/>
      <c r="N699" s="105"/>
      <c r="P699" s="105"/>
    </row>
    <row r="700" spans="2:16">
      <c r="B700" s="107"/>
      <c r="C700" s="105"/>
      <c r="D700" s="105"/>
      <c r="E700" s="105"/>
      <c r="F700" s="105"/>
      <c r="G700" s="105"/>
      <c r="H700" s="105"/>
      <c r="I700" s="105"/>
      <c r="J700" s="105"/>
      <c r="K700" s="105"/>
      <c r="L700" s="105"/>
      <c r="N700" s="105"/>
      <c r="P700" s="105"/>
    </row>
    <row r="701" spans="2:16">
      <c r="B701" s="107"/>
      <c r="C701" s="105"/>
      <c r="D701" s="105"/>
      <c r="E701" s="105"/>
      <c r="F701" s="105"/>
      <c r="G701" s="105"/>
      <c r="H701" s="105"/>
      <c r="I701" s="105"/>
      <c r="J701" s="105"/>
      <c r="K701" s="105"/>
      <c r="L701" s="105"/>
      <c r="N701" s="105"/>
      <c r="P701" s="105"/>
    </row>
    <row r="702" spans="2:16">
      <c r="B702" s="107"/>
      <c r="C702" s="105"/>
      <c r="D702" s="105"/>
      <c r="E702" s="105"/>
      <c r="F702" s="105"/>
      <c r="G702" s="105"/>
      <c r="H702" s="105"/>
      <c r="I702" s="105"/>
      <c r="J702" s="105"/>
      <c r="K702" s="105"/>
      <c r="L702" s="105"/>
      <c r="N702" s="105"/>
      <c r="P702" s="105"/>
    </row>
    <row r="703" spans="2:16">
      <c r="B703" s="107"/>
      <c r="C703" s="105"/>
      <c r="D703" s="105"/>
      <c r="E703" s="105"/>
      <c r="F703" s="105"/>
      <c r="G703" s="105"/>
      <c r="H703" s="105"/>
      <c r="I703" s="105"/>
      <c r="J703" s="105"/>
      <c r="K703" s="105"/>
      <c r="L703" s="105"/>
      <c r="N703" s="105"/>
      <c r="P703" s="105"/>
    </row>
    <row r="704" spans="2:16">
      <c r="B704" s="107"/>
      <c r="C704" s="105"/>
      <c r="D704" s="105"/>
      <c r="E704" s="105"/>
      <c r="F704" s="105"/>
      <c r="G704" s="105"/>
      <c r="H704" s="105"/>
      <c r="I704" s="105"/>
      <c r="J704" s="105"/>
      <c r="K704" s="105"/>
      <c r="L704" s="105"/>
      <c r="N704" s="105"/>
      <c r="P704" s="105"/>
    </row>
    <row r="705" spans="2:16">
      <c r="B705" s="107"/>
      <c r="C705" s="105"/>
      <c r="D705" s="105"/>
      <c r="E705" s="105"/>
      <c r="F705" s="105"/>
      <c r="G705" s="105"/>
      <c r="H705" s="105"/>
      <c r="I705" s="105"/>
      <c r="J705" s="105"/>
      <c r="K705" s="105"/>
      <c r="L705" s="105"/>
      <c r="N705" s="105"/>
      <c r="P705" s="105"/>
    </row>
    <row r="706" spans="2:16">
      <c r="B706" s="107"/>
      <c r="C706" s="105"/>
      <c r="D706" s="105"/>
      <c r="E706" s="105"/>
      <c r="F706" s="105"/>
      <c r="G706" s="105"/>
      <c r="H706" s="105"/>
      <c r="I706" s="105"/>
      <c r="J706" s="105"/>
      <c r="K706" s="105"/>
      <c r="L706" s="105"/>
      <c r="N706" s="105"/>
      <c r="P706" s="105"/>
    </row>
    <row r="707" spans="2:16">
      <c r="B707" s="107"/>
      <c r="C707" s="105"/>
      <c r="D707" s="105"/>
      <c r="E707" s="105"/>
      <c r="F707" s="105"/>
      <c r="G707" s="105"/>
      <c r="H707" s="105"/>
      <c r="I707" s="105"/>
      <c r="J707" s="105"/>
      <c r="K707" s="105"/>
      <c r="L707" s="105"/>
      <c r="N707" s="105"/>
      <c r="P707" s="105"/>
    </row>
    <row r="708" spans="2:16">
      <c r="B708" s="107"/>
      <c r="C708" s="105"/>
      <c r="D708" s="105"/>
      <c r="E708" s="105"/>
      <c r="F708" s="105"/>
      <c r="G708" s="105"/>
      <c r="H708" s="105"/>
      <c r="I708" s="105"/>
      <c r="J708" s="105"/>
      <c r="K708" s="105"/>
      <c r="L708" s="105"/>
      <c r="N708" s="105"/>
      <c r="P708" s="105"/>
    </row>
    <row r="709" spans="2:16">
      <c r="B709" s="107"/>
      <c r="C709" s="105"/>
      <c r="D709" s="105"/>
      <c r="E709" s="105"/>
      <c r="F709" s="105"/>
      <c r="G709" s="105"/>
      <c r="H709" s="105"/>
      <c r="I709" s="105"/>
      <c r="J709" s="105"/>
      <c r="K709" s="105"/>
      <c r="L709" s="105"/>
      <c r="N709" s="105"/>
      <c r="P709" s="105"/>
    </row>
    <row r="710" spans="2:16">
      <c r="B710" s="107"/>
      <c r="C710" s="105"/>
      <c r="D710" s="105"/>
      <c r="E710" s="105"/>
      <c r="F710" s="105"/>
      <c r="G710" s="105"/>
      <c r="H710" s="105"/>
      <c r="I710" s="105"/>
      <c r="J710" s="105"/>
      <c r="K710" s="105"/>
      <c r="L710" s="105"/>
      <c r="N710" s="105"/>
      <c r="P710" s="105"/>
    </row>
    <row r="711" spans="2:16">
      <c r="B711" s="107"/>
      <c r="C711" s="105"/>
      <c r="D711" s="105"/>
      <c r="E711" s="105"/>
      <c r="F711" s="105"/>
      <c r="G711" s="105"/>
      <c r="H711" s="105"/>
      <c r="I711" s="105"/>
      <c r="J711" s="105"/>
      <c r="K711" s="105"/>
      <c r="L711" s="105"/>
      <c r="N711" s="105"/>
      <c r="P711" s="105"/>
    </row>
    <row r="712" spans="2:16">
      <c r="B712" s="107"/>
      <c r="C712" s="105"/>
      <c r="D712" s="105"/>
      <c r="E712" s="105"/>
      <c r="F712" s="105"/>
      <c r="G712" s="105"/>
      <c r="H712" s="105"/>
      <c r="I712" s="105"/>
      <c r="J712" s="105"/>
      <c r="K712" s="105"/>
      <c r="L712" s="105"/>
      <c r="N712" s="105"/>
      <c r="P712" s="105"/>
    </row>
    <row r="713" spans="2:16">
      <c r="B713" s="107"/>
      <c r="C713" s="105"/>
      <c r="D713" s="105"/>
      <c r="E713" s="105"/>
      <c r="F713" s="105"/>
      <c r="G713" s="105"/>
      <c r="H713" s="105"/>
      <c r="I713" s="105"/>
      <c r="J713" s="105"/>
      <c r="K713" s="105"/>
      <c r="L713" s="105"/>
      <c r="N713" s="105"/>
      <c r="P713" s="105"/>
    </row>
    <row r="714" spans="2:16">
      <c r="B714" s="107"/>
      <c r="C714" s="105"/>
      <c r="D714" s="105"/>
      <c r="E714" s="105"/>
      <c r="F714" s="105"/>
      <c r="G714" s="105"/>
      <c r="H714" s="105"/>
      <c r="I714" s="105"/>
      <c r="J714" s="105"/>
      <c r="K714" s="105"/>
      <c r="L714" s="105"/>
      <c r="N714" s="105"/>
      <c r="P714" s="105"/>
    </row>
    <row r="715" spans="2:16">
      <c r="B715" s="107"/>
      <c r="C715" s="105"/>
      <c r="D715" s="105"/>
      <c r="E715" s="105"/>
      <c r="F715" s="105"/>
      <c r="G715" s="105"/>
      <c r="H715" s="105"/>
      <c r="I715" s="105"/>
      <c r="J715" s="105"/>
      <c r="K715" s="105"/>
      <c r="L715" s="105"/>
      <c r="N715" s="105"/>
      <c r="P715" s="105"/>
    </row>
    <row r="716" spans="2:16">
      <c r="B716" s="107"/>
      <c r="C716" s="105"/>
      <c r="D716" s="105"/>
      <c r="E716" s="105"/>
      <c r="F716" s="105"/>
      <c r="G716" s="105"/>
      <c r="H716" s="105"/>
      <c r="I716" s="105"/>
      <c r="J716" s="105"/>
      <c r="K716" s="105"/>
      <c r="L716" s="105"/>
      <c r="N716" s="105"/>
      <c r="P716" s="105"/>
    </row>
    <row r="717" spans="2:16">
      <c r="B717" s="107"/>
      <c r="C717" s="105"/>
      <c r="D717" s="105"/>
      <c r="E717" s="105"/>
      <c r="F717" s="105"/>
      <c r="G717" s="105"/>
      <c r="H717" s="105"/>
      <c r="I717" s="105"/>
      <c r="J717" s="105"/>
      <c r="K717" s="105"/>
      <c r="L717" s="105"/>
      <c r="N717" s="105"/>
      <c r="P717" s="105"/>
    </row>
    <row r="718" spans="2:16">
      <c r="B718" s="107"/>
      <c r="C718" s="105"/>
      <c r="D718" s="105"/>
      <c r="E718" s="105"/>
      <c r="F718" s="105"/>
      <c r="G718" s="105"/>
      <c r="H718" s="105"/>
      <c r="I718" s="105"/>
      <c r="J718" s="105"/>
      <c r="K718" s="105"/>
      <c r="L718" s="105"/>
      <c r="N718" s="105"/>
      <c r="P718" s="105"/>
    </row>
    <row r="719" spans="2:16">
      <c r="B719" s="107"/>
      <c r="C719" s="105"/>
      <c r="D719" s="105"/>
      <c r="E719" s="105"/>
      <c r="F719" s="105"/>
      <c r="G719" s="105"/>
      <c r="H719" s="105"/>
      <c r="I719" s="105"/>
      <c r="J719" s="105"/>
      <c r="K719" s="105"/>
      <c r="L719" s="105"/>
      <c r="N719" s="105"/>
      <c r="P719" s="105"/>
    </row>
    <row r="720" spans="2:16">
      <c r="B720" s="107"/>
      <c r="C720" s="105"/>
      <c r="D720" s="105"/>
      <c r="E720" s="105"/>
      <c r="F720" s="105"/>
      <c r="G720" s="105"/>
      <c r="H720" s="105"/>
      <c r="I720" s="105"/>
      <c r="J720" s="105"/>
      <c r="K720" s="105"/>
      <c r="L720" s="105"/>
      <c r="N720" s="105"/>
      <c r="P720" s="105"/>
    </row>
    <row r="721" spans="2:16">
      <c r="B721" s="107"/>
      <c r="C721" s="105"/>
      <c r="D721" s="105"/>
      <c r="E721" s="105"/>
      <c r="F721" s="105"/>
      <c r="G721" s="105"/>
      <c r="H721" s="105"/>
      <c r="I721" s="105"/>
      <c r="J721" s="105"/>
      <c r="K721" s="105"/>
      <c r="L721" s="105"/>
      <c r="N721" s="105"/>
      <c r="P721" s="105"/>
    </row>
    <row r="722" spans="2:16">
      <c r="B722" s="107"/>
      <c r="C722" s="105"/>
      <c r="D722" s="105"/>
      <c r="E722" s="105"/>
      <c r="F722" s="105"/>
      <c r="G722" s="105"/>
      <c r="H722" s="105"/>
      <c r="I722" s="105"/>
      <c r="J722" s="105"/>
      <c r="K722" s="105"/>
      <c r="L722" s="105"/>
      <c r="N722" s="105"/>
      <c r="P722" s="105"/>
    </row>
    <row r="723" spans="2:16">
      <c r="B723" s="107"/>
      <c r="C723" s="105"/>
      <c r="D723" s="105"/>
      <c r="E723" s="105"/>
      <c r="F723" s="105"/>
      <c r="G723" s="105"/>
      <c r="H723" s="105"/>
      <c r="I723" s="105"/>
      <c r="J723" s="105"/>
      <c r="K723" s="105"/>
      <c r="L723" s="105"/>
      <c r="N723" s="105"/>
      <c r="P723" s="105"/>
    </row>
    <row r="724" spans="2:16">
      <c r="B724" s="107"/>
      <c r="C724" s="105"/>
      <c r="D724" s="105"/>
      <c r="E724" s="105"/>
      <c r="F724" s="105"/>
      <c r="G724" s="105"/>
      <c r="H724" s="105"/>
      <c r="I724" s="105"/>
      <c r="J724" s="105"/>
      <c r="K724" s="105"/>
      <c r="L724" s="105"/>
      <c r="N724" s="105"/>
      <c r="P724" s="105"/>
    </row>
    <row r="725" spans="2:16">
      <c r="B725" s="107"/>
      <c r="C725" s="105"/>
      <c r="D725" s="105"/>
      <c r="E725" s="105"/>
      <c r="F725" s="105"/>
      <c r="G725" s="105"/>
      <c r="H725" s="105"/>
      <c r="I725" s="105"/>
      <c r="J725" s="105"/>
      <c r="K725" s="105"/>
      <c r="L725" s="105"/>
      <c r="N725" s="105"/>
      <c r="P725" s="105"/>
    </row>
    <row r="726" spans="2:16">
      <c r="B726" s="107"/>
      <c r="C726" s="105"/>
      <c r="D726" s="105"/>
      <c r="E726" s="105"/>
      <c r="F726" s="105"/>
      <c r="G726" s="105"/>
      <c r="H726" s="105"/>
      <c r="I726" s="105"/>
      <c r="J726" s="105"/>
      <c r="K726" s="105"/>
      <c r="L726" s="105"/>
      <c r="N726" s="105"/>
      <c r="P726" s="105"/>
    </row>
    <row r="727" spans="2:16">
      <c r="B727" s="107"/>
      <c r="C727" s="105"/>
      <c r="D727" s="105"/>
      <c r="E727" s="105"/>
      <c r="F727" s="105"/>
      <c r="G727" s="105"/>
      <c r="H727" s="105"/>
      <c r="I727" s="105"/>
      <c r="J727" s="105"/>
      <c r="K727" s="105"/>
      <c r="L727" s="105"/>
      <c r="N727" s="105"/>
      <c r="P727" s="105"/>
    </row>
    <row r="728" spans="2:16">
      <c r="B728" s="107"/>
      <c r="C728" s="105"/>
      <c r="D728" s="105"/>
      <c r="E728" s="105"/>
      <c r="F728" s="105"/>
      <c r="G728" s="105"/>
      <c r="H728" s="105"/>
      <c r="I728" s="105"/>
      <c r="J728" s="105"/>
      <c r="K728" s="105"/>
      <c r="L728" s="105"/>
      <c r="N728" s="105"/>
      <c r="P728" s="105"/>
    </row>
    <row r="729" spans="2:16">
      <c r="B729" s="107"/>
      <c r="C729" s="105"/>
      <c r="D729" s="105"/>
      <c r="E729" s="105"/>
      <c r="F729" s="105"/>
      <c r="G729" s="105"/>
      <c r="H729" s="105"/>
      <c r="I729" s="105"/>
      <c r="J729" s="105"/>
      <c r="K729" s="105"/>
      <c r="L729" s="105"/>
      <c r="N729" s="105"/>
      <c r="P729" s="105"/>
    </row>
    <row r="730" spans="2:16">
      <c r="B730" s="107"/>
      <c r="C730" s="105"/>
      <c r="D730" s="105"/>
      <c r="E730" s="105"/>
      <c r="F730" s="105"/>
      <c r="G730" s="105"/>
      <c r="H730" s="105"/>
      <c r="I730" s="105"/>
      <c r="J730" s="105"/>
      <c r="K730" s="105"/>
      <c r="L730" s="105"/>
      <c r="N730" s="105"/>
      <c r="P730" s="105"/>
    </row>
    <row r="731" spans="2:16">
      <c r="B731" s="107"/>
      <c r="C731" s="105"/>
      <c r="D731" s="105"/>
      <c r="E731" s="105">
        <v>0</v>
      </c>
      <c r="F731" s="105"/>
      <c r="G731" s="105"/>
      <c r="H731" s="105"/>
      <c r="I731" s="105"/>
      <c r="J731" s="105"/>
      <c r="K731" s="105"/>
      <c r="L731" s="105"/>
      <c r="N731" s="105"/>
      <c r="P731" s="105"/>
    </row>
    <row r="732" spans="2:16">
      <c r="B732" s="107"/>
      <c r="C732" s="105"/>
      <c r="D732" s="105"/>
      <c r="E732" s="105"/>
      <c r="F732" s="105"/>
      <c r="G732" s="105"/>
      <c r="H732" s="105"/>
      <c r="I732" s="105"/>
      <c r="J732" s="105"/>
      <c r="K732" s="105"/>
      <c r="L732" s="105"/>
      <c r="N732" s="105"/>
      <c r="P732" s="105"/>
    </row>
    <row r="733" spans="2:16">
      <c r="B733" s="107"/>
      <c r="C733" s="105"/>
      <c r="D733" s="105"/>
      <c r="E733" s="105"/>
      <c r="F733" s="105"/>
      <c r="G733" s="105"/>
      <c r="H733" s="105"/>
      <c r="I733" s="105"/>
      <c r="J733" s="105"/>
      <c r="K733" s="105"/>
      <c r="L733" s="105"/>
      <c r="N733" s="105"/>
      <c r="P733" s="105"/>
    </row>
    <row r="734" spans="2:16">
      <c r="B734" s="107"/>
      <c r="C734" s="105"/>
      <c r="D734" s="105"/>
      <c r="E734" s="105"/>
      <c r="F734" s="105"/>
      <c r="G734" s="105"/>
      <c r="H734" s="105"/>
      <c r="I734" s="105"/>
      <c r="J734" s="105"/>
      <c r="K734" s="105"/>
      <c r="L734" s="105"/>
      <c r="N734" s="105"/>
      <c r="P734" s="105"/>
    </row>
    <row r="735" spans="2:16">
      <c r="B735" s="107"/>
      <c r="C735" s="105"/>
      <c r="D735" s="105"/>
      <c r="E735" s="105"/>
      <c r="F735" s="105"/>
      <c r="G735" s="105"/>
      <c r="H735" s="105"/>
      <c r="I735" s="105"/>
      <c r="J735" s="105"/>
      <c r="K735" s="105"/>
      <c r="L735" s="105"/>
      <c r="N735" s="105"/>
      <c r="P735" s="105"/>
    </row>
    <row r="736" spans="2:16">
      <c r="B736" s="107"/>
      <c r="C736" s="105"/>
      <c r="D736" s="105"/>
      <c r="E736" s="105"/>
      <c r="F736" s="105"/>
      <c r="G736" s="105"/>
      <c r="H736" s="105"/>
      <c r="I736" s="105"/>
      <c r="J736" s="105"/>
      <c r="K736" s="105"/>
      <c r="L736" s="105"/>
      <c r="N736" s="105"/>
      <c r="P736" s="105"/>
    </row>
    <row r="737" spans="2:16">
      <c r="B737" s="107"/>
      <c r="C737" s="105"/>
      <c r="D737" s="105"/>
      <c r="E737" s="105"/>
      <c r="F737" s="105"/>
      <c r="G737" s="105"/>
      <c r="H737" s="105"/>
      <c r="I737" s="105"/>
      <c r="J737" s="105"/>
      <c r="K737" s="105"/>
      <c r="L737" s="105"/>
      <c r="N737" s="105"/>
      <c r="P737" s="105"/>
    </row>
    <row r="738" spans="2:16">
      <c r="B738" s="107"/>
      <c r="C738" s="105"/>
      <c r="D738" s="105"/>
      <c r="E738" s="105"/>
      <c r="F738" s="105"/>
      <c r="G738" s="105"/>
      <c r="H738" s="105"/>
      <c r="I738" s="105"/>
      <c r="J738" s="105"/>
      <c r="K738" s="105"/>
      <c r="L738" s="105"/>
      <c r="N738" s="105"/>
      <c r="P738" s="105"/>
    </row>
    <row r="739" spans="2:16">
      <c r="B739" s="107"/>
      <c r="C739" s="105"/>
      <c r="D739" s="105"/>
      <c r="E739" s="105"/>
      <c r="F739" s="105"/>
      <c r="G739" s="105"/>
      <c r="H739" s="105"/>
      <c r="I739" s="105"/>
      <c r="J739" s="105"/>
      <c r="K739" s="105"/>
      <c r="L739" s="105"/>
      <c r="N739" s="105"/>
      <c r="P739" s="105"/>
    </row>
    <row r="740" spans="2:16">
      <c r="B740" s="107"/>
      <c r="C740" s="105"/>
      <c r="D740" s="105"/>
      <c r="E740" s="105"/>
      <c r="F740" s="105"/>
      <c r="G740" s="105"/>
      <c r="H740" s="105"/>
      <c r="I740" s="105"/>
      <c r="J740" s="105"/>
      <c r="K740" s="105"/>
      <c r="L740" s="105"/>
      <c r="N740" s="105"/>
      <c r="P740" s="105"/>
    </row>
    <row r="741" spans="2:16">
      <c r="B741" s="107"/>
      <c r="C741" s="105"/>
      <c r="D741" s="105"/>
      <c r="E741" s="105"/>
      <c r="F741" s="105"/>
      <c r="G741" s="105"/>
      <c r="H741" s="105"/>
      <c r="I741" s="105"/>
      <c r="J741" s="105"/>
      <c r="K741" s="105"/>
      <c r="L741" s="105"/>
      <c r="N741" s="105"/>
      <c r="P741" s="105"/>
    </row>
    <row r="742" spans="2:16">
      <c r="B742" s="107"/>
      <c r="C742" s="105"/>
      <c r="D742" s="105"/>
      <c r="E742" s="105"/>
      <c r="F742" s="105"/>
      <c r="G742" s="105"/>
      <c r="H742" s="105"/>
      <c r="I742" s="105"/>
      <c r="J742" s="105"/>
      <c r="K742" s="105"/>
      <c r="L742" s="105"/>
      <c r="N742" s="105"/>
      <c r="P742" s="105"/>
    </row>
    <row r="743" spans="2:16">
      <c r="B743" s="107"/>
      <c r="C743" s="105"/>
      <c r="D743" s="105"/>
      <c r="E743" s="105"/>
      <c r="F743" s="105"/>
      <c r="G743" s="105"/>
      <c r="H743" s="105"/>
      <c r="I743" s="105"/>
      <c r="J743" s="105"/>
      <c r="K743" s="105"/>
      <c r="L743" s="105"/>
      <c r="N743" s="105"/>
      <c r="P743" s="105"/>
    </row>
    <row r="744" spans="2:16">
      <c r="B744" s="107"/>
      <c r="C744" s="105"/>
      <c r="D744" s="105"/>
      <c r="E744" s="105"/>
      <c r="F744" s="105"/>
      <c r="G744" s="105"/>
      <c r="H744" s="105"/>
      <c r="I744" s="105"/>
      <c r="J744" s="105"/>
      <c r="K744" s="105"/>
      <c r="L744" s="105"/>
      <c r="N744" s="105"/>
      <c r="P744" s="105"/>
    </row>
    <row r="745" spans="2:16">
      <c r="B745" s="107"/>
      <c r="C745" s="105"/>
      <c r="D745" s="105"/>
      <c r="E745" s="105"/>
      <c r="F745" s="105"/>
      <c r="G745" s="105"/>
      <c r="H745" s="105"/>
      <c r="I745" s="105"/>
      <c r="J745" s="105"/>
      <c r="K745" s="105"/>
      <c r="L745" s="105"/>
      <c r="N745" s="105"/>
      <c r="P745" s="105"/>
    </row>
    <row r="746" spans="2:16">
      <c r="B746" s="107"/>
      <c r="C746" s="105"/>
      <c r="D746" s="105"/>
      <c r="E746" s="105"/>
      <c r="F746" s="105"/>
      <c r="G746" s="105"/>
      <c r="H746" s="105"/>
      <c r="I746" s="105"/>
      <c r="J746" s="105"/>
      <c r="K746" s="105"/>
      <c r="L746" s="105"/>
      <c r="N746" s="105"/>
      <c r="P746" s="105"/>
    </row>
    <row r="747" spans="2:16">
      <c r="B747" s="107"/>
      <c r="C747" s="105"/>
      <c r="D747" s="105"/>
      <c r="E747" s="105"/>
      <c r="F747" s="105"/>
      <c r="G747" s="105"/>
      <c r="H747" s="105"/>
      <c r="I747" s="105"/>
      <c r="J747" s="105"/>
      <c r="K747" s="105"/>
      <c r="L747" s="105"/>
      <c r="N747" s="105"/>
      <c r="P747" s="105"/>
    </row>
    <row r="748" spans="2:16">
      <c r="B748" s="107"/>
      <c r="C748" s="105"/>
      <c r="D748" s="105"/>
      <c r="E748" s="105"/>
      <c r="F748" s="105"/>
      <c r="G748" s="105"/>
      <c r="H748" s="105"/>
      <c r="I748" s="105"/>
      <c r="J748" s="105"/>
      <c r="K748" s="105"/>
      <c r="L748" s="105"/>
      <c r="N748" s="105"/>
      <c r="P748" s="105"/>
    </row>
    <row r="749" spans="2:16">
      <c r="B749" s="107"/>
      <c r="C749" s="105"/>
      <c r="D749" s="105"/>
      <c r="E749" s="105"/>
      <c r="F749" s="105"/>
      <c r="G749" s="105"/>
      <c r="H749" s="105"/>
      <c r="I749" s="105"/>
      <c r="J749" s="105"/>
      <c r="K749" s="105"/>
      <c r="L749" s="105"/>
      <c r="N749" s="105"/>
      <c r="P749" s="105"/>
    </row>
    <row r="750" spans="2:16">
      <c r="B750" s="107"/>
      <c r="C750" s="105"/>
      <c r="D750" s="105"/>
      <c r="E750" s="105"/>
      <c r="F750" s="105"/>
      <c r="G750" s="105"/>
      <c r="H750" s="105"/>
      <c r="I750" s="105"/>
      <c r="J750" s="105"/>
      <c r="K750" s="105"/>
      <c r="L750" s="105"/>
      <c r="N750" s="105"/>
      <c r="P750" s="105"/>
    </row>
    <row r="751" spans="2:16">
      <c r="B751" s="107"/>
      <c r="C751" s="105"/>
      <c r="D751" s="105"/>
      <c r="E751" s="105"/>
      <c r="F751" s="105"/>
      <c r="G751" s="105"/>
      <c r="H751" s="105"/>
      <c r="I751" s="105"/>
      <c r="J751" s="105"/>
      <c r="K751" s="105"/>
      <c r="L751" s="105"/>
      <c r="N751" s="105"/>
      <c r="P751" s="105"/>
    </row>
    <row r="752" spans="2:16">
      <c r="B752" s="107"/>
      <c r="C752" s="105"/>
      <c r="D752" s="105"/>
      <c r="E752" s="105"/>
      <c r="F752" s="105"/>
      <c r="G752" s="105"/>
      <c r="H752" s="105"/>
      <c r="I752" s="105"/>
      <c r="J752" s="105"/>
      <c r="K752" s="105"/>
      <c r="L752" s="105"/>
      <c r="N752" s="105"/>
      <c r="P752" s="105"/>
    </row>
    <row r="753" spans="2:16">
      <c r="B753" s="107"/>
      <c r="C753" s="105"/>
      <c r="D753" s="105"/>
      <c r="E753" s="105"/>
      <c r="F753" s="105"/>
      <c r="G753" s="105"/>
      <c r="H753" s="105"/>
      <c r="I753" s="105"/>
      <c r="J753" s="105"/>
      <c r="K753" s="105"/>
      <c r="L753" s="105"/>
      <c r="N753" s="105"/>
      <c r="P753" s="105"/>
    </row>
    <row r="754" spans="2:16">
      <c r="B754" s="107"/>
      <c r="C754" s="105"/>
      <c r="D754" s="105"/>
      <c r="E754" s="105"/>
      <c r="F754" s="105"/>
      <c r="G754" s="105"/>
      <c r="H754" s="105"/>
      <c r="I754" s="105"/>
      <c r="J754" s="105"/>
      <c r="K754" s="105"/>
      <c r="L754" s="105"/>
      <c r="N754" s="105"/>
      <c r="P754" s="105"/>
    </row>
    <row r="755" spans="2:16">
      <c r="B755" s="107"/>
      <c r="C755" s="105"/>
      <c r="D755" s="105"/>
      <c r="E755" s="105"/>
      <c r="F755" s="105"/>
      <c r="G755" s="105"/>
      <c r="H755" s="105"/>
      <c r="I755" s="105"/>
      <c r="J755" s="105"/>
      <c r="K755" s="105"/>
      <c r="L755" s="105"/>
      <c r="N755" s="105"/>
      <c r="P755" s="105"/>
    </row>
    <row r="756" spans="2:16">
      <c r="B756" s="107"/>
      <c r="C756" s="105"/>
      <c r="D756" s="105"/>
      <c r="E756" s="105"/>
      <c r="F756" s="105"/>
      <c r="G756" s="105"/>
      <c r="H756" s="105"/>
      <c r="I756" s="105"/>
      <c r="J756" s="105"/>
      <c r="K756" s="105"/>
      <c r="L756" s="105"/>
      <c r="N756" s="105"/>
      <c r="P756" s="105"/>
    </row>
    <row r="757" spans="2:16">
      <c r="B757" s="107"/>
      <c r="C757" s="105"/>
      <c r="D757" s="105"/>
      <c r="E757" s="105"/>
      <c r="F757" s="105"/>
      <c r="G757" s="105"/>
      <c r="H757" s="105"/>
      <c r="I757" s="105"/>
      <c r="J757" s="105"/>
      <c r="K757" s="105"/>
      <c r="L757" s="105"/>
      <c r="N757" s="105"/>
      <c r="P757" s="105"/>
    </row>
    <row r="758" spans="2:16">
      <c r="B758" s="107"/>
      <c r="C758" s="105"/>
      <c r="D758" s="105"/>
      <c r="E758" s="105"/>
      <c r="F758" s="105"/>
      <c r="G758" s="105"/>
      <c r="H758" s="105"/>
      <c r="I758" s="105"/>
      <c r="J758" s="105"/>
      <c r="K758" s="105"/>
      <c r="L758" s="105"/>
      <c r="N758" s="105"/>
      <c r="P758" s="105"/>
    </row>
    <row r="759" spans="2:16">
      <c r="B759" s="107"/>
      <c r="C759" s="105"/>
      <c r="D759" s="105"/>
      <c r="E759" s="105"/>
      <c r="F759" s="105"/>
      <c r="G759" s="105"/>
      <c r="H759" s="105"/>
      <c r="I759" s="105"/>
      <c r="J759" s="105"/>
      <c r="K759" s="105"/>
      <c r="L759" s="105"/>
      <c r="N759" s="105"/>
      <c r="P759" s="105"/>
    </row>
    <row r="760" spans="2:16">
      <c r="B760" s="107"/>
      <c r="C760" s="105"/>
      <c r="D760" s="105"/>
      <c r="E760" s="105"/>
      <c r="F760" s="105"/>
      <c r="G760" s="105"/>
      <c r="H760" s="105"/>
      <c r="I760" s="105"/>
      <c r="J760" s="105"/>
      <c r="K760" s="105"/>
      <c r="L760" s="105"/>
      <c r="N760" s="105"/>
      <c r="P760" s="105"/>
    </row>
    <row r="761" spans="2:16">
      <c r="B761" s="107"/>
      <c r="C761" s="105"/>
      <c r="D761" s="105"/>
      <c r="E761" s="105"/>
      <c r="F761" s="105"/>
      <c r="G761" s="105"/>
      <c r="H761" s="105"/>
      <c r="I761" s="105"/>
      <c r="J761" s="105"/>
      <c r="K761" s="105"/>
      <c r="L761" s="105"/>
      <c r="N761" s="105"/>
      <c r="P761" s="105"/>
    </row>
    <row r="762" spans="2:16">
      <c r="B762" s="107"/>
      <c r="C762" s="105"/>
      <c r="D762" s="105"/>
      <c r="E762" s="105"/>
      <c r="F762" s="105"/>
      <c r="G762" s="105"/>
      <c r="H762" s="105"/>
      <c r="I762" s="105"/>
      <c r="J762" s="105"/>
      <c r="K762" s="105"/>
      <c r="L762" s="105"/>
      <c r="N762" s="105"/>
      <c r="P762" s="105"/>
    </row>
    <row r="763" spans="2:16">
      <c r="B763" s="107"/>
      <c r="C763" s="105"/>
      <c r="D763" s="105"/>
      <c r="E763" s="105"/>
      <c r="F763" s="105"/>
      <c r="G763" s="105"/>
      <c r="H763" s="105"/>
      <c r="I763" s="105"/>
      <c r="J763" s="105"/>
      <c r="K763" s="105"/>
      <c r="L763" s="105"/>
      <c r="N763" s="105"/>
      <c r="P763" s="105"/>
    </row>
    <row r="764" spans="2:16">
      <c r="B764" s="107"/>
      <c r="C764" s="105"/>
      <c r="D764" s="105"/>
      <c r="E764" s="105"/>
      <c r="F764" s="105"/>
      <c r="G764" s="105"/>
      <c r="H764" s="105"/>
      <c r="I764" s="105"/>
      <c r="J764" s="105"/>
      <c r="K764" s="105"/>
      <c r="L764" s="105"/>
      <c r="N764" s="105"/>
      <c r="P764" s="105"/>
    </row>
    <row r="765" spans="2:16">
      <c r="B765" s="107"/>
      <c r="C765" s="105"/>
      <c r="D765" s="105"/>
      <c r="E765" s="105"/>
      <c r="F765" s="105"/>
      <c r="G765" s="105"/>
      <c r="H765" s="105"/>
      <c r="I765" s="105"/>
      <c r="J765" s="105"/>
      <c r="K765" s="105"/>
      <c r="L765" s="105"/>
      <c r="N765" s="105"/>
      <c r="P765" s="105"/>
    </row>
    <row r="766" spans="2:16">
      <c r="B766" s="107"/>
      <c r="C766" s="105"/>
      <c r="D766" s="105"/>
      <c r="E766" s="105"/>
      <c r="F766" s="105"/>
      <c r="G766" s="105"/>
      <c r="H766" s="105"/>
      <c r="I766" s="105"/>
      <c r="J766" s="105"/>
      <c r="K766" s="105"/>
      <c r="L766" s="105"/>
      <c r="N766" s="105"/>
      <c r="P766" s="105"/>
    </row>
    <row r="767" spans="2:16">
      <c r="B767" s="107"/>
      <c r="C767" s="105"/>
      <c r="D767" s="105"/>
      <c r="E767" s="105"/>
      <c r="F767" s="105"/>
      <c r="G767" s="105"/>
      <c r="H767" s="105"/>
      <c r="I767" s="105"/>
      <c r="J767" s="105"/>
      <c r="K767" s="105"/>
      <c r="L767" s="105"/>
      <c r="N767" s="105"/>
      <c r="P767" s="105"/>
    </row>
    <row r="768" spans="2:16">
      <c r="B768" s="107"/>
      <c r="C768" s="105"/>
      <c r="D768" s="105"/>
      <c r="E768" s="105"/>
      <c r="F768" s="105"/>
      <c r="G768" s="105"/>
      <c r="H768" s="105"/>
      <c r="I768" s="105"/>
      <c r="J768" s="105"/>
      <c r="K768" s="105"/>
      <c r="L768" s="105"/>
      <c r="N768" s="105"/>
      <c r="P768" s="105"/>
    </row>
    <row r="769" spans="2:16">
      <c r="B769" s="107"/>
      <c r="C769" s="105"/>
      <c r="D769" s="105"/>
      <c r="E769" s="105"/>
      <c r="F769" s="105"/>
      <c r="G769" s="105"/>
      <c r="H769" s="105"/>
      <c r="I769" s="105"/>
      <c r="J769" s="105"/>
      <c r="K769" s="105"/>
      <c r="L769" s="105"/>
      <c r="N769" s="105"/>
      <c r="P769" s="105"/>
    </row>
    <row r="770" spans="2:16">
      <c r="B770" s="107"/>
      <c r="C770" s="105"/>
      <c r="D770" s="105"/>
      <c r="E770" s="105"/>
      <c r="F770" s="105"/>
      <c r="G770" s="105"/>
      <c r="H770" s="105"/>
      <c r="I770" s="105"/>
      <c r="J770" s="105"/>
      <c r="K770" s="105"/>
      <c r="L770" s="105"/>
      <c r="N770" s="105"/>
      <c r="P770" s="105"/>
    </row>
    <row r="771" spans="2:16">
      <c r="B771" s="107"/>
      <c r="C771" s="105"/>
      <c r="D771" s="105"/>
      <c r="E771" s="105"/>
      <c r="F771" s="105"/>
      <c r="G771" s="105"/>
      <c r="H771" s="105"/>
      <c r="I771" s="105"/>
      <c r="J771" s="105"/>
      <c r="K771" s="105"/>
      <c r="L771" s="105"/>
      <c r="N771" s="105"/>
      <c r="P771" s="105"/>
    </row>
    <row r="772" spans="2:16">
      <c r="B772" s="107"/>
      <c r="C772" s="105"/>
      <c r="D772" s="105"/>
      <c r="E772" s="105"/>
      <c r="F772" s="105"/>
      <c r="G772" s="105"/>
      <c r="H772" s="105"/>
      <c r="I772" s="105"/>
      <c r="J772" s="105"/>
      <c r="K772" s="105"/>
      <c r="L772" s="105"/>
      <c r="N772" s="105"/>
      <c r="P772" s="105"/>
    </row>
    <row r="773" spans="2:16">
      <c r="B773" s="107"/>
      <c r="C773" s="105"/>
      <c r="D773" s="105"/>
      <c r="E773" s="105"/>
      <c r="F773" s="105"/>
      <c r="G773" s="105"/>
      <c r="H773" s="105"/>
      <c r="I773" s="105"/>
      <c r="J773" s="105"/>
      <c r="K773" s="105"/>
      <c r="L773" s="105"/>
      <c r="N773" s="105"/>
      <c r="P773" s="105"/>
    </row>
    <row r="774" spans="2:16">
      <c r="B774" s="107"/>
      <c r="C774" s="105"/>
      <c r="D774" s="105"/>
      <c r="E774" s="105"/>
      <c r="F774" s="105"/>
      <c r="G774" s="105"/>
      <c r="H774" s="105"/>
      <c r="I774" s="105"/>
      <c r="J774" s="105"/>
      <c r="K774" s="105"/>
      <c r="L774" s="105"/>
      <c r="N774" s="105"/>
      <c r="P774" s="105"/>
    </row>
    <row r="775" spans="2:16">
      <c r="B775" s="107"/>
      <c r="C775" s="105"/>
      <c r="D775" s="105"/>
      <c r="E775" s="105"/>
      <c r="F775" s="105"/>
      <c r="G775" s="105"/>
      <c r="H775" s="105"/>
      <c r="I775" s="105"/>
      <c r="J775" s="105"/>
      <c r="K775" s="105"/>
      <c r="L775" s="105"/>
      <c r="N775" s="105"/>
      <c r="P775" s="105"/>
    </row>
    <row r="776" spans="2:16">
      <c r="B776" s="107"/>
      <c r="C776" s="105"/>
      <c r="D776" s="105"/>
      <c r="E776" s="105"/>
      <c r="F776" s="105"/>
      <c r="G776" s="105"/>
      <c r="H776" s="105"/>
      <c r="I776" s="105"/>
      <c r="J776" s="105"/>
      <c r="K776" s="105"/>
      <c r="L776" s="105"/>
      <c r="N776" s="105"/>
      <c r="P776" s="105"/>
    </row>
    <row r="777" spans="2:16">
      <c r="B777" s="107"/>
      <c r="C777" s="105"/>
      <c r="D777" s="105"/>
      <c r="E777" s="105"/>
      <c r="F777" s="105"/>
      <c r="G777" s="105"/>
      <c r="H777" s="105"/>
      <c r="I777" s="105"/>
      <c r="J777" s="105"/>
      <c r="K777" s="105"/>
      <c r="L777" s="105"/>
      <c r="N777" s="105"/>
      <c r="P777" s="105"/>
    </row>
    <row r="778" spans="2:16">
      <c r="B778" s="107"/>
      <c r="C778" s="105"/>
      <c r="D778" s="105"/>
      <c r="E778" s="105"/>
      <c r="F778" s="105"/>
      <c r="G778" s="105"/>
      <c r="H778" s="105"/>
      <c r="I778" s="105"/>
      <c r="J778" s="105"/>
      <c r="K778" s="105"/>
      <c r="L778" s="105"/>
      <c r="N778" s="105"/>
      <c r="P778" s="105"/>
    </row>
    <row r="779" spans="2:16">
      <c r="B779" s="107"/>
      <c r="C779" s="105"/>
      <c r="D779" s="105"/>
      <c r="E779" s="105"/>
      <c r="F779" s="105"/>
      <c r="G779" s="105"/>
      <c r="H779" s="105"/>
      <c r="I779" s="105"/>
      <c r="J779" s="105"/>
      <c r="K779" s="105"/>
      <c r="L779" s="105"/>
      <c r="N779" s="105"/>
      <c r="P779" s="105"/>
    </row>
    <row r="780" spans="2:16">
      <c r="B780" s="107"/>
      <c r="C780" s="105"/>
      <c r="D780" s="105"/>
      <c r="E780" s="105"/>
      <c r="F780" s="105"/>
      <c r="G780" s="105"/>
      <c r="H780" s="105"/>
      <c r="I780" s="105"/>
      <c r="J780" s="105"/>
      <c r="K780" s="105"/>
      <c r="L780" s="105"/>
      <c r="N780" s="105"/>
      <c r="P780" s="105"/>
    </row>
    <row r="781" spans="2:16">
      <c r="B781" s="107"/>
      <c r="C781" s="105"/>
      <c r="D781" s="105"/>
      <c r="E781" s="105"/>
      <c r="F781" s="105"/>
      <c r="G781" s="105"/>
      <c r="H781" s="105"/>
      <c r="I781" s="105"/>
      <c r="J781" s="105"/>
      <c r="K781" s="105"/>
      <c r="L781" s="105"/>
      <c r="N781" s="105"/>
      <c r="P781" s="105"/>
    </row>
    <row r="782" spans="2:16">
      <c r="B782" s="107"/>
      <c r="C782" s="105"/>
      <c r="D782" s="105"/>
      <c r="E782" s="105"/>
      <c r="F782" s="105"/>
      <c r="G782" s="105"/>
      <c r="H782" s="105"/>
      <c r="I782" s="105"/>
      <c r="J782" s="105"/>
      <c r="K782" s="105"/>
      <c r="L782" s="105"/>
      <c r="N782" s="105"/>
      <c r="P782" s="105"/>
    </row>
    <row r="783" spans="2:16">
      <c r="B783" s="107"/>
      <c r="C783" s="105"/>
      <c r="D783" s="105"/>
      <c r="E783" s="105"/>
      <c r="F783" s="105"/>
      <c r="G783" s="105"/>
      <c r="H783" s="105"/>
      <c r="I783" s="105"/>
      <c r="J783" s="105"/>
      <c r="K783" s="105"/>
      <c r="L783" s="105"/>
      <c r="N783" s="105"/>
      <c r="P783" s="105"/>
    </row>
    <row r="784" spans="2:16">
      <c r="B784" s="107"/>
      <c r="C784" s="105"/>
      <c r="D784" s="105"/>
      <c r="E784" s="105"/>
      <c r="F784" s="105"/>
      <c r="G784" s="105"/>
      <c r="H784" s="105"/>
      <c r="I784" s="105"/>
      <c r="J784" s="105"/>
      <c r="K784" s="105"/>
      <c r="L784" s="105"/>
      <c r="N784" s="105"/>
      <c r="P784" s="105"/>
    </row>
    <row r="785" spans="2:16">
      <c r="B785" s="107"/>
      <c r="C785" s="105"/>
      <c r="D785" s="105"/>
      <c r="E785" s="105"/>
      <c r="F785" s="105"/>
      <c r="G785" s="105"/>
      <c r="H785" s="105"/>
      <c r="I785" s="105"/>
      <c r="J785" s="105"/>
      <c r="K785" s="105"/>
      <c r="L785" s="105"/>
      <c r="N785" s="105"/>
      <c r="P785" s="105"/>
    </row>
    <row r="786" spans="2:16">
      <c r="B786" s="107"/>
      <c r="C786" s="105"/>
      <c r="D786" s="105"/>
      <c r="E786" s="105"/>
      <c r="F786" s="105"/>
      <c r="G786" s="105"/>
      <c r="H786" s="105"/>
      <c r="I786" s="105"/>
      <c r="J786" s="105"/>
      <c r="K786" s="105"/>
      <c r="L786" s="105"/>
      <c r="N786" s="105"/>
      <c r="P786" s="105"/>
    </row>
    <row r="787" spans="2:16">
      <c r="B787" s="107"/>
      <c r="C787" s="105"/>
      <c r="D787" s="105"/>
      <c r="E787" s="105"/>
      <c r="F787" s="105"/>
      <c r="G787" s="105"/>
      <c r="H787" s="105"/>
      <c r="I787" s="105"/>
      <c r="J787" s="105"/>
      <c r="K787" s="105"/>
      <c r="L787" s="105"/>
      <c r="N787" s="105"/>
      <c r="P787" s="105"/>
    </row>
    <row r="788" spans="2:16">
      <c r="B788" s="107"/>
      <c r="C788" s="105"/>
      <c r="D788" s="105"/>
      <c r="E788" s="105"/>
      <c r="F788" s="105"/>
      <c r="G788" s="105"/>
      <c r="H788" s="105"/>
      <c r="I788" s="105"/>
      <c r="J788" s="105"/>
      <c r="K788" s="105"/>
      <c r="L788" s="105"/>
      <c r="N788" s="105"/>
      <c r="P788" s="105"/>
    </row>
    <row r="789" spans="2:16">
      <c r="B789" s="107"/>
      <c r="C789" s="105"/>
      <c r="D789" s="105"/>
      <c r="E789" s="105"/>
      <c r="F789" s="105"/>
      <c r="G789" s="105"/>
      <c r="H789" s="105"/>
      <c r="I789" s="105"/>
      <c r="J789" s="105"/>
      <c r="K789" s="105"/>
      <c r="L789" s="105"/>
      <c r="N789" s="105"/>
      <c r="P789" s="105"/>
    </row>
    <row r="790" spans="2:16">
      <c r="B790" s="107"/>
      <c r="C790" s="105"/>
      <c r="D790" s="105"/>
      <c r="E790" s="105"/>
      <c r="F790" s="105"/>
      <c r="G790" s="105"/>
      <c r="H790" s="105"/>
      <c r="I790" s="105"/>
      <c r="J790" s="105"/>
      <c r="K790" s="105"/>
      <c r="L790" s="105"/>
      <c r="N790" s="105"/>
      <c r="P790" s="105"/>
    </row>
    <row r="791" spans="2:16">
      <c r="B791" s="107"/>
      <c r="C791" s="105"/>
      <c r="D791" s="105"/>
      <c r="E791" s="105"/>
      <c r="F791" s="105"/>
      <c r="G791" s="105"/>
      <c r="H791" s="105"/>
      <c r="I791" s="105"/>
      <c r="J791" s="105"/>
      <c r="K791" s="105"/>
      <c r="L791" s="105"/>
      <c r="N791" s="105"/>
      <c r="P791" s="105"/>
    </row>
    <row r="792" spans="2:16">
      <c r="B792" s="107"/>
      <c r="C792" s="105"/>
      <c r="D792" s="105"/>
      <c r="E792" s="105"/>
      <c r="F792" s="105"/>
      <c r="G792" s="105"/>
      <c r="H792" s="105"/>
      <c r="I792" s="105"/>
      <c r="J792" s="105"/>
      <c r="K792" s="105"/>
      <c r="L792" s="105"/>
      <c r="N792" s="105"/>
      <c r="P792" s="105"/>
    </row>
    <row r="793" spans="2:16">
      <c r="B793" s="107"/>
      <c r="C793" s="105"/>
      <c r="D793" s="105"/>
      <c r="E793" s="105"/>
      <c r="F793" s="105"/>
      <c r="G793" s="105"/>
      <c r="H793" s="105"/>
      <c r="I793" s="105"/>
      <c r="J793" s="105"/>
      <c r="K793" s="105"/>
      <c r="L793" s="105"/>
      <c r="N793" s="105"/>
      <c r="P793" s="105"/>
    </row>
    <row r="794" spans="2:16">
      <c r="B794" s="107"/>
      <c r="C794" s="105"/>
      <c r="D794" s="105"/>
      <c r="E794" s="105"/>
      <c r="F794" s="105"/>
      <c r="G794" s="105"/>
      <c r="H794" s="105"/>
      <c r="I794" s="105"/>
      <c r="J794" s="105"/>
      <c r="K794" s="105"/>
      <c r="L794" s="105"/>
      <c r="N794" s="105"/>
      <c r="P794" s="105"/>
    </row>
    <row r="795" spans="2:16">
      <c r="B795" s="107"/>
      <c r="C795" s="105"/>
      <c r="D795" s="105"/>
      <c r="E795" s="105"/>
      <c r="F795" s="105"/>
      <c r="G795" s="105"/>
      <c r="H795" s="105"/>
      <c r="I795" s="105"/>
      <c r="J795" s="105"/>
      <c r="K795" s="105"/>
      <c r="L795" s="105"/>
      <c r="N795" s="105"/>
      <c r="P795" s="105"/>
    </row>
    <row r="796" spans="2:16">
      <c r="B796" s="107"/>
      <c r="C796" s="105"/>
      <c r="D796" s="105"/>
      <c r="E796" s="105"/>
      <c r="F796" s="105"/>
      <c r="G796" s="105"/>
      <c r="H796" s="105"/>
      <c r="I796" s="105"/>
      <c r="J796" s="105"/>
      <c r="K796" s="105"/>
      <c r="L796" s="105"/>
      <c r="N796" s="105"/>
      <c r="P796" s="105"/>
    </row>
    <row r="797" spans="2:16">
      <c r="B797" s="107"/>
      <c r="C797" s="105"/>
      <c r="D797" s="105"/>
      <c r="E797" s="105"/>
      <c r="F797" s="105"/>
      <c r="G797" s="105"/>
      <c r="H797" s="105"/>
      <c r="I797" s="105"/>
      <c r="J797" s="105"/>
      <c r="K797" s="105"/>
      <c r="L797" s="105"/>
      <c r="N797" s="105"/>
      <c r="P797" s="105"/>
    </row>
    <row r="798" spans="2:16">
      <c r="B798" s="107"/>
      <c r="C798" s="105"/>
      <c r="D798" s="105"/>
      <c r="E798" s="105"/>
      <c r="F798" s="105"/>
      <c r="G798" s="105"/>
      <c r="H798" s="105"/>
      <c r="I798" s="105"/>
      <c r="J798" s="105"/>
      <c r="K798" s="105"/>
      <c r="L798" s="105"/>
      <c r="N798" s="105"/>
      <c r="P798" s="105"/>
    </row>
    <row r="799" spans="2:16">
      <c r="B799" s="107"/>
      <c r="C799" s="105"/>
      <c r="D799" s="105"/>
      <c r="E799" s="105"/>
      <c r="F799" s="105"/>
      <c r="G799" s="105"/>
      <c r="H799" s="105"/>
      <c r="I799" s="105"/>
      <c r="J799" s="105"/>
      <c r="K799" s="105"/>
      <c r="L799" s="105"/>
      <c r="N799" s="105"/>
      <c r="P799" s="105"/>
    </row>
    <row r="800" spans="2:16">
      <c r="B800" s="107"/>
      <c r="C800" s="105"/>
      <c r="D800" s="105"/>
      <c r="E800" s="105"/>
      <c r="F800" s="105"/>
      <c r="G800" s="105"/>
      <c r="H800" s="105"/>
      <c r="I800" s="105"/>
      <c r="J800" s="105"/>
      <c r="K800" s="105"/>
      <c r="L800" s="105"/>
      <c r="N800" s="105"/>
      <c r="P800" s="105"/>
    </row>
    <row r="801" spans="2:16">
      <c r="B801" s="107"/>
      <c r="C801" s="105"/>
      <c r="D801" s="105"/>
      <c r="E801" s="105"/>
      <c r="F801" s="105"/>
      <c r="G801" s="105"/>
      <c r="H801" s="105"/>
      <c r="I801" s="105"/>
      <c r="J801" s="105"/>
      <c r="K801" s="105"/>
      <c r="L801" s="105"/>
      <c r="N801" s="105"/>
      <c r="P801" s="105"/>
    </row>
    <row r="802" spans="2:16">
      <c r="B802" s="107"/>
      <c r="C802" s="105"/>
      <c r="D802" s="105"/>
      <c r="E802" s="105"/>
      <c r="F802" s="105"/>
      <c r="G802" s="105"/>
      <c r="H802" s="105"/>
      <c r="I802" s="105"/>
      <c r="J802" s="105"/>
      <c r="K802" s="105"/>
      <c r="L802" s="105"/>
      <c r="N802" s="105"/>
      <c r="P802" s="105"/>
    </row>
    <row r="803" spans="2:16">
      <c r="B803" s="107"/>
      <c r="C803" s="105"/>
      <c r="D803" s="105"/>
      <c r="E803" s="105"/>
      <c r="F803" s="105"/>
      <c r="G803" s="105"/>
      <c r="H803" s="105"/>
      <c r="I803" s="105"/>
      <c r="J803" s="105"/>
      <c r="K803" s="105"/>
      <c r="L803" s="105"/>
      <c r="N803" s="105"/>
      <c r="P803" s="105"/>
    </row>
    <row r="804" spans="2:16">
      <c r="B804" s="107"/>
      <c r="C804" s="105"/>
      <c r="D804" s="105"/>
      <c r="E804" s="105"/>
      <c r="F804" s="105"/>
      <c r="G804" s="105"/>
      <c r="H804" s="105"/>
      <c r="I804" s="105"/>
      <c r="J804" s="105"/>
      <c r="K804" s="105"/>
      <c r="L804" s="105"/>
      <c r="N804" s="105"/>
      <c r="P804" s="105"/>
    </row>
    <row r="805" spans="2:16">
      <c r="B805" s="107"/>
      <c r="C805" s="105"/>
      <c r="D805" s="105"/>
      <c r="E805" s="105"/>
      <c r="F805" s="105"/>
      <c r="G805" s="105"/>
      <c r="H805" s="105"/>
      <c r="I805" s="105"/>
      <c r="J805" s="105"/>
      <c r="K805" s="105"/>
      <c r="L805" s="105"/>
      <c r="N805" s="105"/>
      <c r="P805" s="105"/>
    </row>
    <row r="806" spans="2:16">
      <c r="B806" s="107"/>
      <c r="C806" s="105"/>
      <c r="D806" s="105"/>
      <c r="E806" s="105"/>
      <c r="F806" s="105"/>
      <c r="G806" s="105"/>
      <c r="H806" s="105"/>
      <c r="I806" s="105"/>
      <c r="J806" s="105"/>
      <c r="K806" s="105"/>
      <c r="L806" s="105"/>
      <c r="N806" s="105"/>
      <c r="P806" s="105"/>
    </row>
    <row r="807" spans="2:16">
      <c r="B807" s="107"/>
      <c r="C807" s="105"/>
      <c r="D807" s="105"/>
      <c r="E807" s="105"/>
      <c r="F807" s="105"/>
      <c r="G807" s="105"/>
      <c r="H807" s="105"/>
      <c r="I807" s="105"/>
      <c r="J807" s="105"/>
      <c r="K807" s="105"/>
      <c r="L807" s="105"/>
      <c r="N807" s="105"/>
      <c r="P807" s="105"/>
    </row>
    <row r="808" spans="2:16">
      <c r="B808" s="107"/>
      <c r="C808" s="105"/>
      <c r="D808" s="105"/>
      <c r="E808" s="105"/>
      <c r="F808" s="105"/>
      <c r="G808" s="105"/>
      <c r="H808" s="105"/>
      <c r="I808" s="105"/>
      <c r="J808" s="105"/>
      <c r="K808" s="105"/>
      <c r="L808" s="105"/>
      <c r="N808" s="105"/>
      <c r="P808" s="105"/>
    </row>
    <row r="809" spans="2:16">
      <c r="B809" s="107"/>
      <c r="C809" s="105"/>
      <c r="D809" s="105"/>
      <c r="E809" s="105"/>
      <c r="F809" s="105"/>
      <c r="G809" s="105"/>
      <c r="H809" s="105"/>
      <c r="I809" s="105"/>
      <c r="J809" s="105"/>
      <c r="K809" s="105"/>
      <c r="L809" s="105"/>
      <c r="N809" s="105"/>
      <c r="P809" s="105"/>
    </row>
    <row r="810" spans="2:16">
      <c r="B810" s="107"/>
      <c r="C810" s="105"/>
      <c r="D810" s="105"/>
      <c r="E810" s="105"/>
      <c r="F810" s="105"/>
      <c r="G810" s="105"/>
      <c r="H810" s="105"/>
      <c r="I810" s="105"/>
      <c r="J810" s="105"/>
      <c r="K810" s="105"/>
      <c r="L810" s="105"/>
      <c r="N810" s="105"/>
      <c r="P810" s="105"/>
    </row>
    <row r="811" spans="2:16">
      <c r="B811" s="107"/>
      <c r="C811" s="105"/>
      <c r="D811" s="105"/>
      <c r="E811" s="105"/>
      <c r="F811" s="105"/>
      <c r="G811" s="105"/>
      <c r="H811" s="105"/>
      <c r="I811" s="105"/>
      <c r="J811" s="105"/>
      <c r="K811" s="105"/>
      <c r="L811" s="105"/>
      <c r="N811" s="105"/>
      <c r="P811" s="105"/>
    </row>
    <row r="812" spans="2:16">
      <c r="B812" s="107"/>
      <c r="C812" s="105"/>
      <c r="D812" s="105"/>
      <c r="E812" s="105"/>
      <c r="F812" s="105"/>
      <c r="G812" s="105"/>
      <c r="H812" s="105"/>
      <c r="I812" s="105"/>
      <c r="J812" s="105"/>
      <c r="K812" s="105"/>
      <c r="L812" s="105"/>
      <c r="N812" s="105"/>
      <c r="P812" s="105"/>
    </row>
    <row r="813" spans="2:16">
      <c r="B813" s="107"/>
      <c r="C813" s="105"/>
      <c r="D813" s="105"/>
      <c r="E813" s="105"/>
      <c r="F813" s="105"/>
      <c r="G813" s="105"/>
      <c r="H813" s="105"/>
      <c r="I813" s="105"/>
      <c r="J813" s="105"/>
      <c r="K813" s="105"/>
      <c r="L813" s="105"/>
      <c r="N813" s="105"/>
      <c r="P813" s="105"/>
    </row>
    <row r="814" spans="2:16">
      <c r="B814" s="107"/>
      <c r="C814" s="105"/>
      <c r="D814" s="105"/>
      <c r="E814" s="105"/>
      <c r="F814" s="105"/>
      <c r="G814" s="105"/>
      <c r="H814" s="105"/>
      <c r="I814" s="105"/>
      <c r="J814" s="105"/>
      <c r="K814" s="105"/>
      <c r="L814" s="105"/>
      <c r="N814" s="105"/>
      <c r="P814" s="105"/>
    </row>
    <row r="815" spans="2:16">
      <c r="B815" s="107"/>
      <c r="C815" s="105"/>
      <c r="D815" s="105"/>
      <c r="E815" s="105"/>
      <c r="F815" s="105"/>
      <c r="G815" s="105"/>
      <c r="H815" s="105"/>
      <c r="I815" s="105"/>
      <c r="J815" s="105"/>
      <c r="K815" s="105"/>
      <c r="L815" s="105"/>
      <c r="N815" s="105"/>
      <c r="P815" s="105"/>
    </row>
    <row r="816" spans="2:16">
      <c r="B816" s="107"/>
      <c r="C816" s="105"/>
      <c r="D816" s="105"/>
      <c r="E816" s="105"/>
      <c r="F816" s="105"/>
      <c r="G816" s="105"/>
      <c r="H816" s="105"/>
      <c r="I816" s="105"/>
      <c r="J816" s="105"/>
      <c r="K816" s="105"/>
      <c r="L816" s="105"/>
      <c r="N816" s="105"/>
      <c r="P816" s="105"/>
    </row>
    <row r="817" spans="2:16">
      <c r="B817" s="107"/>
      <c r="C817" s="105"/>
      <c r="D817" s="105"/>
      <c r="E817" s="105"/>
      <c r="F817" s="105"/>
      <c r="G817" s="105"/>
      <c r="H817" s="105"/>
      <c r="I817" s="105"/>
      <c r="J817" s="105"/>
      <c r="K817" s="105"/>
      <c r="L817" s="105"/>
      <c r="N817" s="105"/>
      <c r="P817" s="105"/>
    </row>
    <row r="818" spans="2:16">
      <c r="B818" s="107"/>
      <c r="C818" s="105"/>
      <c r="D818" s="105"/>
      <c r="E818" s="105"/>
      <c r="F818" s="105"/>
      <c r="G818" s="105"/>
      <c r="H818" s="105"/>
      <c r="I818" s="105"/>
      <c r="J818" s="105"/>
      <c r="K818" s="105"/>
      <c r="L818" s="105"/>
      <c r="N818" s="105"/>
      <c r="P818" s="105"/>
    </row>
    <row r="819" spans="2:16">
      <c r="B819" s="107"/>
      <c r="C819" s="105"/>
      <c r="D819" s="105"/>
      <c r="E819" s="105"/>
      <c r="F819" s="105"/>
      <c r="G819" s="105"/>
      <c r="H819" s="105"/>
      <c r="I819" s="105"/>
      <c r="J819" s="105"/>
      <c r="K819" s="105"/>
      <c r="L819" s="105"/>
      <c r="N819" s="105"/>
      <c r="P819" s="105"/>
    </row>
    <row r="820" spans="2:16">
      <c r="B820" s="107"/>
      <c r="C820" s="105"/>
      <c r="D820" s="105"/>
      <c r="E820" s="105"/>
      <c r="F820" s="105"/>
      <c r="G820" s="105"/>
      <c r="H820" s="105"/>
      <c r="I820" s="105"/>
      <c r="J820" s="105"/>
      <c r="K820" s="105"/>
      <c r="L820" s="105"/>
      <c r="N820" s="105"/>
      <c r="P820" s="105"/>
    </row>
    <row r="821" spans="2:16">
      <c r="B821" s="107"/>
      <c r="C821" s="105"/>
      <c r="D821" s="105"/>
      <c r="E821" s="105"/>
      <c r="F821" s="105"/>
      <c r="G821" s="105"/>
      <c r="H821" s="105"/>
      <c r="I821" s="105"/>
      <c r="J821" s="105"/>
      <c r="K821" s="105"/>
      <c r="L821" s="105"/>
      <c r="N821" s="105"/>
      <c r="P821" s="105"/>
    </row>
    <row r="822" spans="2:16">
      <c r="B822" s="107"/>
      <c r="C822" s="105"/>
      <c r="D822" s="105"/>
      <c r="E822" s="105"/>
      <c r="F822" s="105"/>
      <c r="G822" s="105"/>
      <c r="H822" s="105"/>
      <c r="I822" s="105"/>
      <c r="J822" s="105"/>
      <c r="K822" s="105"/>
      <c r="L822" s="105"/>
      <c r="N822" s="105"/>
      <c r="P822" s="105"/>
    </row>
    <row r="823" spans="2:16">
      <c r="B823" s="107"/>
      <c r="C823" s="105"/>
      <c r="D823" s="105"/>
      <c r="E823" s="105"/>
      <c r="F823" s="105"/>
      <c r="G823" s="105"/>
      <c r="H823" s="105"/>
      <c r="I823" s="105"/>
      <c r="J823" s="105"/>
      <c r="K823" s="105"/>
      <c r="L823" s="105"/>
      <c r="N823" s="105"/>
      <c r="P823" s="105"/>
    </row>
    <row r="824" spans="2:16">
      <c r="B824" s="107"/>
      <c r="C824" s="105"/>
      <c r="D824" s="105"/>
      <c r="E824" s="105"/>
      <c r="F824" s="105"/>
      <c r="G824" s="105"/>
      <c r="H824" s="105"/>
      <c r="I824" s="105"/>
      <c r="J824" s="105"/>
      <c r="K824" s="105"/>
      <c r="L824" s="105"/>
      <c r="N824" s="105"/>
      <c r="P824" s="105"/>
    </row>
    <row r="825" spans="2:16">
      <c r="B825" s="107"/>
      <c r="C825" s="105"/>
      <c r="D825" s="105"/>
      <c r="E825" s="105"/>
      <c r="F825" s="105"/>
      <c r="G825" s="105"/>
      <c r="H825" s="105"/>
      <c r="I825" s="105"/>
      <c r="J825" s="105"/>
      <c r="K825" s="105"/>
      <c r="L825" s="105"/>
      <c r="N825" s="105"/>
      <c r="P825" s="105"/>
    </row>
    <row r="826" spans="2:16">
      <c r="B826" s="107"/>
      <c r="C826" s="105"/>
      <c r="D826" s="105"/>
      <c r="E826" s="105"/>
      <c r="F826" s="105"/>
      <c r="G826" s="105"/>
      <c r="H826" s="105"/>
      <c r="I826" s="105"/>
      <c r="J826" s="105"/>
      <c r="K826" s="105"/>
      <c r="L826" s="105"/>
      <c r="N826" s="105"/>
      <c r="P826" s="105"/>
    </row>
    <row r="827" spans="2:16">
      <c r="B827" s="107"/>
      <c r="C827" s="105"/>
      <c r="D827" s="105"/>
      <c r="E827" s="105"/>
      <c r="F827" s="105"/>
      <c r="G827" s="105"/>
      <c r="H827" s="105"/>
      <c r="I827" s="105"/>
      <c r="J827" s="105"/>
      <c r="K827" s="105"/>
      <c r="L827" s="105"/>
      <c r="N827" s="105"/>
      <c r="P827" s="105"/>
    </row>
    <row r="828" spans="2:16">
      <c r="B828" s="107"/>
      <c r="C828" s="105"/>
      <c r="D828" s="105"/>
      <c r="E828" s="105"/>
      <c r="F828" s="105"/>
      <c r="G828" s="105"/>
      <c r="H828" s="105"/>
      <c r="I828" s="105"/>
      <c r="J828" s="105"/>
      <c r="K828" s="105"/>
      <c r="L828" s="105"/>
      <c r="N828" s="105"/>
      <c r="P828" s="105"/>
    </row>
    <row r="829" spans="2:16">
      <c r="B829" s="107"/>
      <c r="C829" s="105"/>
      <c r="D829" s="105"/>
      <c r="E829" s="105"/>
      <c r="F829" s="105"/>
      <c r="G829" s="105"/>
      <c r="H829" s="105"/>
      <c r="I829" s="105"/>
      <c r="J829" s="105"/>
      <c r="K829" s="105"/>
      <c r="L829" s="105"/>
      <c r="N829" s="105"/>
      <c r="P829" s="105"/>
    </row>
    <row r="830" spans="2:16">
      <c r="B830" s="107"/>
      <c r="C830" s="105"/>
      <c r="D830" s="105"/>
      <c r="E830" s="105"/>
      <c r="F830" s="105"/>
      <c r="G830" s="105"/>
      <c r="H830" s="105"/>
      <c r="I830" s="105"/>
      <c r="J830" s="105"/>
      <c r="K830" s="105"/>
      <c r="L830" s="105"/>
      <c r="N830" s="105"/>
      <c r="P830" s="105"/>
    </row>
    <row r="831" spans="2:16">
      <c r="B831" s="107"/>
      <c r="C831" s="105"/>
      <c r="D831" s="105"/>
      <c r="E831" s="105"/>
      <c r="F831" s="105"/>
      <c r="G831" s="105"/>
      <c r="H831" s="105"/>
      <c r="I831" s="105"/>
      <c r="J831" s="105"/>
      <c r="K831" s="105"/>
      <c r="L831" s="105"/>
      <c r="N831" s="105"/>
      <c r="P831" s="105"/>
    </row>
    <row r="832" spans="2:16">
      <c r="B832" s="107"/>
      <c r="C832" s="105"/>
      <c r="D832" s="105"/>
      <c r="E832" s="105"/>
      <c r="F832" s="105"/>
      <c r="G832" s="105"/>
      <c r="H832" s="105"/>
      <c r="I832" s="105"/>
      <c r="J832" s="105"/>
      <c r="K832" s="105"/>
      <c r="L832" s="105"/>
      <c r="N832" s="105"/>
      <c r="P832" s="105"/>
    </row>
    <row r="833" spans="2:16">
      <c r="B833" s="107"/>
      <c r="C833" s="105"/>
      <c r="D833" s="105"/>
      <c r="E833" s="105"/>
      <c r="F833" s="105"/>
      <c r="G833" s="105"/>
      <c r="H833" s="105"/>
      <c r="I833" s="105"/>
      <c r="J833" s="105"/>
      <c r="K833" s="105"/>
      <c r="L833" s="105"/>
      <c r="N833" s="105"/>
      <c r="P833" s="105"/>
    </row>
    <row r="834" spans="2:16">
      <c r="B834" s="107"/>
      <c r="C834" s="105"/>
      <c r="D834" s="105"/>
      <c r="E834" s="105"/>
      <c r="F834" s="105"/>
      <c r="G834" s="105"/>
      <c r="H834" s="105"/>
      <c r="I834" s="105"/>
      <c r="J834" s="105"/>
      <c r="K834" s="105"/>
      <c r="L834" s="105"/>
      <c r="N834" s="105"/>
      <c r="P834" s="105"/>
    </row>
    <row r="835" spans="2:16">
      <c r="B835" s="107"/>
      <c r="C835" s="105"/>
      <c r="D835" s="105"/>
      <c r="E835" s="105"/>
      <c r="F835" s="105"/>
      <c r="G835" s="105"/>
      <c r="H835" s="105"/>
      <c r="I835" s="105"/>
      <c r="J835" s="105"/>
      <c r="K835" s="105"/>
      <c r="L835" s="105"/>
      <c r="N835" s="105"/>
      <c r="P835" s="105"/>
    </row>
    <row r="836" spans="2:16">
      <c r="B836" s="107"/>
      <c r="C836" s="105"/>
      <c r="D836" s="105"/>
      <c r="E836" s="105"/>
      <c r="F836" s="105"/>
      <c r="G836" s="105"/>
      <c r="H836" s="105"/>
      <c r="I836" s="105"/>
      <c r="J836" s="105"/>
      <c r="K836" s="105"/>
      <c r="L836" s="105"/>
      <c r="N836" s="105"/>
      <c r="P836" s="105"/>
    </row>
    <row r="837" spans="2:16">
      <c r="B837" s="107"/>
      <c r="C837" s="105"/>
      <c r="D837" s="105"/>
      <c r="E837" s="105"/>
      <c r="F837" s="105"/>
      <c r="G837" s="105"/>
      <c r="H837" s="105"/>
      <c r="I837" s="105"/>
      <c r="J837" s="105"/>
      <c r="K837" s="105"/>
      <c r="L837" s="105"/>
      <c r="N837" s="105"/>
      <c r="P837" s="105"/>
    </row>
    <row r="838" spans="2:16">
      <c r="B838" s="107"/>
      <c r="C838" s="105"/>
      <c r="D838" s="105"/>
      <c r="E838" s="105"/>
      <c r="F838" s="105"/>
      <c r="G838" s="105"/>
      <c r="H838" s="105"/>
      <c r="I838" s="105"/>
      <c r="J838" s="105"/>
      <c r="K838" s="105"/>
      <c r="L838" s="105"/>
      <c r="N838" s="105"/>
      <c r="P838" s="105"/>
    </row>
    <row r="839" spans="2:16">
      <c r="B839" s="107"/>
      <c r="C839" s="105"/>
      <c r="D839" s="105"/>
      <c r="E839" s="105"/>
      <c r="F839" s="105"/>
      <c r="G839" s="105"/>
      <c r="H839" s="105"/>
      <c r="I839" s="105"/>
      <c r="J839" s="105"/>
      <c r="K839" s="105"/>
      <c r="L839" s="105"/>
      <c r="N839" s="105"/>
      <c r="P839" s="105"/>
    </row>
    <row r="840" spans="2:16">
      <c r="B840" s="107"/>
      <c r="C840" s="105"/>
      <c r="D840" s="105"/>
      <c r="E840" s="105"/>
      <c r="F840" s="105"/>
      <c r="G840" s="105"/>
      <c r="H840" s="105"/>
      <c r="I840" s="105"/>
      <c r="J840" s="105"/>
      <c r="K840" s="105"/>
      <c r="L840" s="105"/>
      <c r="N840" s="105"/>
      <c r="P840" s="105"/>
    </row>
    <row r="841" spans="2:16">
      <c r="B841" s="107"/>
      <c r="C841" s="105"/>
      <c r="D841" s="105"/>
      <c r="E841" s="105"/>
      <c r="F841" s="105"/>
      <c r="G841" s="105"/>
      <c r="H841" s="105"/>
      <c r="I841" s="105"/>
      <c r="J841" s="105"/>
      <c r="K841" s="105"/>
      <c r="L841" s="105"/>
      <c r="N841" s="105"/>
      <c r="P841" s="105"/>
    </row>
    <row r="842" spans="2:16">
      <c r="B842" s="107"/>
      <c r="C842" s="105"/>
      <c r="D842" s="105"/>
      <c r="E842" s="105"/>
      <c r="F842" s="105"/>
      <c r="G842" s="105"/>
      <c r="H842" s="105"/>
      <c r="I842" s="105"/>
      <c r="J842" s="105"/>
      <c r="K842" s="105"/>
      <c r="L842" s="105"/>
      <c r="N842" s="105"/>
      <c r="P842" s="105"/>
    </row>
    <row r="843" spans="2:16">
      <c r="B843" s="107"/>
      <c r="C843" s="105"/>
      <c r="D843" s="105"/>
      <c r="E843" s="105"/>
      <c r="F843" s="105"/>
      <c r="G843" s="105"/>
      <c r="H843" s="105"/>
      <c r="I843" s="105"/>
      <c r="J843" s="105"/>
      <c r="K843" s="105"/>
      <c r="L843" s="105"/>
      <c r="N843" s="105"/>
      <c r="P843" s="105"/>
    </row>
    <row r="844" spans="2:16">
      <c r="B844" s="107"/>
      <c r="C844" s="105"/>
      <c r="D844" s="105"/>
      <c r="E844" s="105"/>
      <c r="F844" s="105"/>
      <c r="G844" s="105"/>
      <c r="H844" s="105"/>
      <c r="I844" s="105"/>
      <c r="J844" s="105"/>
      <c r="K844" s="105"/>
      <c r="L844" s="105"/>
      <c r="N844" s="105"/>
      <c r="P844" s="105"/>
    </row>
    <row r="845" spans="2:16">
      <c r="B845" s="107"/>
      <c r="C845" s="105"/>
      <c r="D845" s="105"/>
      <c r="E845" s="105"/>
      <c r="F845" s="105"/>
      <c r="G845" s="105"/>
      <c r="H845" s="105"/>
      <c r="I845" s="105"/>
      <c r="J845" s="105"/>
      <c r="K845" s="105"/>
      <c r="L845" s="105"/>
      <c r="N845" s="105"/>
      <c r="P845" s="105"/>
    </row>
    <row r="846" spans="2:16">
      <c r="B846" s="107"/>
      <c r="C846" s="105"/>
      <c r="D846" s="105"/>
      <c r="E846" s="105"/>
      <c r="F846" s="105"/>
      <c r="G846" s="105"/>
      <c r="H846" s="105"/>
      <c r="I846" s="105"/>
      <c r="J846" s="105"/>
      <c r="K846" s="105"/>
      <c r="L846" s="105"/>
      <c r="N846" s="105"/>
      <c r="P846" s="105"/>
    </row>
    <row r="847" spans="2:16">
      <c r="B847" s="107"/>
      <c r="C847" s="105"/>
      <c r="D847" s="105"/>
      <c r="E847" s="105"/>
      <c r="F847" s="105"/>
      <c r="G847" s="105"/>
      <c r="H847" s="105"/>
      <c r="I847" s="105"/>
      <c r="J847" s="105"/>
      <c r="K847" s="105"/>
      <c r="L847" s="105"/>
      <c r="N847" s="105"/>
      <c r="P847" s="105"/>
    </row>
    <row r="848" spans="2:16">
      <c r="B848" s="107"/>
      <c r="C848" s="105"/>
      <c r="D848" s="105"/>
      <c r="E848" s="105"/>
      <c r="F848" s="105"/>
      <c r="G848" s="105"/>
      <c r="H848" s="105"/>
      <c r="I848" s="105"/>
      <c r="J848" s="105"/>
      <c r="K848" s="105"/>
      <c r="L848" s="105"/>
      <c r="N848" s="105"/>
      <c r="P848" s="105"/>
    </row>
    <row r="849" spans="2:16">
      <c r="B849" s="107"/>
      <c r="C849" s="105"/>
      <c r="D849" s="105"/>
      <c r="E849" s="105"/>
      <c r="F849" s="105"/>
      <c r="G849" s="105"/>
      <c r="H849" s="105"/>
      <c r="I849" s="105"/>
      <c r="J849" s="105"/>
      <c r="K849" s="105"/>
      <c r="L849" s="105"/>
      <c r="N849" s="105"/>
      <c r="P849" s="105"/>
    </row>
    <row r="850" spans="2:16">
      <c r="B850" s="107"/>
      <c r="C850" s="105"/>
      <c r="D850" s="105"/>
      <c r="E850" s="105"/>
      <c r="F850" s="105"/>
      <c r="G850" s="105"/>
      <c r="H850" s="105"/>
      <c r="I850" s="105"/>
      <c r="J850" s="105"/>
      <c r="K850" s="105"/>
      <c r="L850" s="105"/>
      <c r="N850" s="105"/>
      <c r="P850" s="105"/>
    </row>
    <row r="851" spans="2:16">
      <c r="B851" s="107"/>
      <c r="C851" s="105"/>
      <c r="D851" s="105"/>
      <c r="E851" s="105"/>
      <c r="F851" s="105"/>
      <c r="G851" s="105"/>
      <c r="H851" s="105"/>
      <c r="I851" s="105"/>
      <c r="J851" s="105"/>
      <c r="K851" s="105"/>
      <c r="L851" s="105"/>
      <c r="N851" s="105"/>
      <c r="P851" s="105"/>
    </row>
    <row r="852" spans="2:16">
      <c r="B852" s="107"/>
      <c r="C852" s="105"/>
      <c r="D852" s="105"/>
      <c r="E852" s="105"/>
      <c r="F852" s="105"/>
      <c r="G852" s="105"/>
      <c r="H852" s="105"/>
      <c r="I852" s="105"/>
      <c r="J852" s="105"/>
      <c r="K852" s="105"/>
      <c r="L852" s="105"/>
      <c r="N852" s="105"/>
      <c r="P852" s="105"/>
    </row>
    <row r="853" spans="2:16">
      <c r="B853" s="107"/>
      <c r="C853" s="105"/>
      <c r="D853" s="105"/>
      <c r="E853" s="105"/>
      <c r="F853" s="105"/>
      <c r="G853" s="105"/>
      <c r="H853" s="105"/>
      <c r="I853" s="105"/>
      <c r="J853" s="105"/>
      <c r="K853" s="105"/>
      <c r="L853" s="105"/>
      <c r="N853" s="105"/>
      <c r="P853" s="105"/>
    </row>
    <row r="854" spans="2:16">
      <c r="B854" s="107"/>
      <c r="C854" s="105"/>
      <c r="D854" s="105"/>
      <c r="E854" s="105"/>
      <c r="F854" s="105"/>
      <c r="G854" s="105"/>
      <c r="H854" s="105"/>
      <c r="I854" s="105"/>
      <c r="J854" s="105"/>
      <c r="K854" s="105"/>
      <c r="L854" s="105"/>
      <c r="N854" s="105"/>
      <c r="P854" s="105"/>
    </row>
    <row r="855" spans="2:16">
      <c r="B855" s="107"/>
      <c r="C855" s="105"/>
      <c r="D855" s="105"/>
      <c r="E855" s="105"/>
      <c r="F855" s="105"/>
      <c r="G855" s="105"/>
      <c r="H855" s="105"/>
      <c r="I855" s="105"/>
      <c r="J855" s="105"/>
      <c r="K855" s="105"/>
      <c r="L855" s="105"/>
      <c r="N855" s="105"/>
      <c r="P855" s="105"/>
    </row>
    <row r="856" spans="2:16">
      <c r="B856" s="107"/>
      <c r="C856" s="105"/>
      <c r="D856" s="105"/>
      <c r="E856" s="105"/>
      <c r="F856" s="105"/>
      <c r="G856" s="105"/>
      <c r="H856" s="105"/>
      <c r="I856" s="105"/>
      <c r="J856" s="105"/>
      <c r="K856" s="105"/>
      <c r="L856" s="105"/>
      <c r="N856" s="105"/>
      <c r="P856" s="105"/>
    </row>
    <row r="857" spans="2:16">
      <c r="B857" s="107"/>
      <c r="C857" s="105"/>
      <c r="D857" s="105"/>
      <c r="E857" s="105"/>
      <c r="F857" s="105"/>
      <c r="G857" s="105"/>
      <c r="H857" s="105"/>
      <c r="I857" s="105"/>
      <c r="J857" s="105"/>
      <c r="K857" s="105"/>
      <c r="L857" s="105"/>
      <c r="N857" s="105"/>
      <c r="P857" s="105"/>
    </row>
    <row r="858" spans="2:16">
      <c r="B858" s="107"/>
      <c r="C858" s="105"/>
      <c r="D858" s="105"/>
      <c r="E858" s="105"/>
      <c r="F858" s="105"/>
      <c r="G858" s="105"/>
      <c r="H858" s="105"/>
      <c r="I858" s="105"/>
      <c r="J858" s="105"/>
      <c r="K858" s="105"/>
      <c r="L858" s="105"/>
      <c r="N858" s="105"/>
      <c r="P858" s="105"/>
    </row>
    <row r="859" spans="2:16">
      <c r="B859" s="107"/>
      <c r="C859" s="105"/>
      <c r="D859" s="105"/>
      <c r="E859" s="105"/>
      <c r="F859" s="105"/>
      <c r="G859" s="105"/>
      <c r="H859" s="105"/>
      <c r="I859" s="105"/>
      <c r="J859" s="105"/>
      <c r="K859" s="105"/>
      <c r="L859" s="105"/>
      <c r="N859" s="105"/>
      <c r="P859" s="105"/>
    </row>
    <row r="860" spans="2:16">
      <c r="B860" s="107"/>
      <c r="C860" s="105"/>
      <c r="D860" s="105"/>
      <c r="E860" s="105"/>
      <c r="F860" s="105"/>
      <c r="G860" s="105"/>
      <c r="H860" s="105"/>
      <c r="I860" s="105"/>
      <c r="J860" s="105"/>
      <c r="K860" s="105"/>
      <c r="L860" s="105"/>
      <c r="N860" s="105"/>
      <c r="P860" s="105"/>
    </row>
    <row r="861" spans="2:16">
      <c r="B861" s="107"/>
      <c r="C861" s="105"/>
      <c r="D861" s="105"/>
      <c r="E861" s="105"/>
      <c r="F861" s="105"/>
      <c r="G861" s="105"/>
      <c r="H861" s="105"/>
      <c r="I861" s="105"/>
      <c r="J861" s="105"/>
      <c r="K861" s="105"/>
      <c r="L861" s="105"/>
      <c r="N861" s="105"/>
      <c r="P861" s="105"/>
    </row>
    <row r="862" spans="2:16">
      <c r="B862" s="107"/>
      <c r="C862" s="105"/>
      <c r="D862" s="105"/>
      <c r="E862" s="105"/>
      <c r="F862" s="105"/>
      <c r="G862" s="105"/>
      <c r="H862" s="105"/>
      <c r="I862" s="105"/>
      <c r="J862" s="105"/>
      <c r="K862" s="105"/>
      <c r="L862" s="105"/>
      <c r="N862" s="105"/>
      <c r="P862" s="105"/>
    </row>
    <row r="863" spans="2:16">
      <c r="B863" s="107"/>
      <c r="C863" s="105"/>
      <c r="D863" s="105"/>
      <c r="E863" s="105"/>
      <c r="F863" s="105"/>
      <c r="G863" s="105"/>
      <c r="H863" s="105"/>
      <c r="I863" s="105"/>
      <c r="J863" s="105"/>
      <c r="K863" s="105"/>
      <c r="L863" s="105"/>
      <c r="N863" s="105"/>
      <c r="P863" s="105"/>
    </row>
    <row r="864" spans="2:16">
      <c r="B864" s="107"/>
      <c r="C864" s="105"/>
      <c r="D864" s="105"/>
      <c r="E864" s="105"/>
      <c r="F864" s="105"/>
      <c r="G864" s="105"/>
      <c r="H864" s="105"/>
      <c r="I864" s="105"/>
      <c r="J864" s="105"/>
      <c r="K864" s="105"/>
      <c r="L864" s="105"/>
      <c r="N864" s="105"/>
      <c r="P864" s="105"/>
    </row>
    <row r="865" spans="2:16">
      <c r="B865" s="107"/>
      <c r="C865" s="105"/>
      <c r="D865" s="105"/>
      <c r="E865" s="105"/>
      <c r="F865" s="105"/>
      <c r="G865" s="105"/>
      <c r="H865" s="105"/>
      <c r="I865" s="105"/>
      <c r="J865" s="105"/>
      <c r="K865" s="105"/>
      <c r="L865" s="105"/>
      <c r="N865" s="105"/>
      <c r="P865" s="105"/>
    </row>
    <row r="866" spans="2:16">
      <c r="B866" s="107"/>
      <c r="C866" s="105"/>
      <c r="D866" s="105"/>
      <c r="E866" s="105"/>
      <c r="F866" s="105"/>
      <c r="G866" s="105"/>
      <c r="H866" s="105"/>
      <c r="I866" s="105"/>
      <c r="J866" s="105"/>
      <c r="K866" s="105"/>
      <c r="L866" s="105"/>
      <c r="N866" s="105"/>
      <c r="P866" s="105"/>
    </row>
    <row r="867" spans="2:16">
      <c r="B867" s="107"/>
      <c r="C867" s="105"/>
      <c r="D867" s="105"/>
      <c r="E867" s="105"/>
      <c r="F867" s="105"/>
      <c r="G867" s="105"/>
      <c r="H867" s="105"/>
      <c r="I867" s="105"/>
      <c r="J867" s="105"/>
      <c r="K867" s="105"/>
      <c r="L867" s="105"/>
      <c r="N867" s="105"/>
      <c r="P867" s="105"/>
    </row>
    <row r="868" spans="2:16">
      <c r="B868" s="107"/>
      <c r="C868" s="105"/>
      <c r="D868" s="105"/>
      <c r="E868" s="105"/>
      <c r="F868" s="105"/>
      <c r="G868" s="105"/>
      <c r="H868" s="105"/>
      <c r="I868" s="105"/>
      <c r="J868" s="105"/>
      <c r="K868" s="105"/>
      <c r="L868" s="105"/>
      <c r="N868" s="105"/>
      <c r="P868" s="105"/>
    </row>
    <row r="869" spans="2:16">
      <c r="B869" s="107"/>
      <c r="C869" s="105"/>
      <c r="D869" s="105"/>
      <c r="E869" s="105"/>
      <c r="F869" s="105"/>
      <c r="G869" s="105"/>
      <c r="H869" s="105"/>
      <c r="I869" s="105"/>
      <c r="J869" s="105"/>
      <c r="K869" s="105"/>
      <c r="L869" s="105"/>
      <c r="N869" s="105"/>
      <c r="P869" s="105"/>
    </row>
    <row r="870" spans="2:16">
      <c r="B870" s="107"/>
      <c r="C870" s="105"/>
      <c r="D870" s="105"/>
      <c r="E870" s="105"/>
      <c r="F870" s="105"/>
      <c r="G870" s="105"/>
      <c r="H870" s="105"/>
      <c r="I870" s="105"/>
      <c r="J870" s="105"/>
      <c r="K870" s="105"/>
      <c r="L870" s="105"/>
      <c r="N870" s="105"/>
      <c r="P870" s="105"/>
    </row>
    <row r="871" spans="2:16">
      <c r="B871" s="107"/>
      <c r="C871" s="105"/>
      <c r="D871" s="105"/>
      <c r="E871" s="105"/>
      <c r="F871" s="105"/>
      <c r="G871" s="105"/>
      <c r="H871" s="105"/>
      <c r="I871" s="105"/>
      <c r="J871" s="105"/>
      <c r="K871" s="105"/>
      <c r="L871" s="105"/>
      <c r="N871" s="105"/>
      <c r="P871" s="105"/>
    </row>
    <row r="872" spans="2:16">
      <c r="B872" s="107"/>
      <c r="C872" s="105"/>
      <c r="D872" s="105"/>
      <c r="E872" s="105"/>
      <c r="F872" s="105"/>
      <c r="G872" s="105"/>
      <c r="H872" s="105"/>
      <c r="I872" s="105"/>
      <c r="J872" s="105"/>
      <c r="K872" s="105"/>
      <c r="L872" s="105"/>
      <c r="N872" s="105"/>
      <c r="P872" s="105"/>
    </row>
    <row r="873" spans="2:16">
      <c r="B873" s="107"/>
      <c r="C873" s="105"/>
      <c r="D873" s="105"/>
      <c r="E873" s="105"/>
      <c r="F873" s="105"/>
      <c r="G873" s="105"/>
      <c r="H873" s="105"/>
      <c r="I873" s="105"/>
      <c r="J873" s="105"/>
      <c r="K873" s="105"/>
      <c r="L873" s="105"/>
      <c r="N873" s="105"/>
      <c r="P873" s="105"/>
    </row>
    <row r="874" spans="2:16">
      <c r="B874" s="107"/>
      <c r="C874" s="105"/>
      <c r="D874" s="105"/>
      <c r="E874" s="105"/>
      <c r="F874" s="105"/>
      <c r="G874" s="105"/>
      <c r="H874" s="105"/>
      <c r="I874" s="105"/>
      <c r="J874" s="105"/>
      <c r="K874" s="105"/>
      <c r="L874" s="105"/>
      <c r="N874" s="105"/>
      <c r="P874" s="105"/>
    </row>
    <row r="875" spans="2:16">
      <c r="B875" s="107"/>
      <c r="C875" s="105"/>
      <c r="D875" s="105"/>
      <c r="E875" s="105"/>
      <c r="F875" s="105"/>
      <c r="G875" s="105"/>
      <c r="H875" s="105"/>
      <c r="I875" s="105"/>
      <c r="J875" s="105"/>
      <c r="K875" s="105"/>
      <c r="L875" s="105"/>
      <c r="N875" s="105"/>
      <c r="P875" s="105"/>
    </row>
    <row r="876" spans="2:16">
      <c r="B876" s="107"/>
      <c r="C876" s="105"/>
      <c r="D876" s="105"/>
      <c r="E876" s="105"/>
      <c r="F876" s="105"/>
      <c r="G876" s="105"/>
      <c r="H876" s="105"/>
      <c r="I876" s="105"/>
      <c r="J876" s="105"/>
      <c r="K876" s="105"/>
      <c r="L876" s="105"/>
      <c r="N876" s="105"/>
      <c r="P876" s="105"/>
    </row>
    <row r="877" spans="2:16">
      <c r="B877" s="107"/>
      <c r="C877" s="105"/>
      <c r="D877" s="105"/>
      <c r="E877" s="105"/>
      <c r="F877" s="105"/>
      <c r="G877" s="105"/>
      <c r="H877" s="105"/>
      <c r="I877" s="105"/>
      <c r="J877" s="105"/>
      <c r="K877" s="105"/>
      <c r="L877" s="105"/>
      <c r="N877" s="105"/>
      <c r="P877" s="105"/>
    </row>
    <row r="878" spans="2:16">
      <c r="B878" s="107"/>
      <c r="C878" s="105"/>
      <c r="D878" s="105"/>
      <c r="E878" s="105"/>
      <c r="F878" s="105"/>
      <c r="G878" s="105"/>
      <c r="H878" s="105"/>
      <c r="I878" s="105"/>
      <c r="J878" s="105"/>
      <c r="K878" s="105"/>
      <c r="L878" s="105"/>
      <c r="N878" s="105"/>
      <c r="P878" s="105"/>
    </row>
    <row r="879" spans="2:16">
      <c r="B879" s="107"/>
      <c r="C879" s="105"/>
      <c r="D879" s="105"/>
      <c r="E879" s="105"/>
      <c r="F879" s="105"/>
      <c r="G879" s="105"/>
      <c r="H879" s="105"/>
      <c r="I879" s="105"/>
      <c r="J879" s="105"/>
      <c r="K879" s="105"/>
      <c r="L879" s="105"/>
      <c r="N879" s="105"/>
      <c r="P879" s="105"/>
    </row>
    <row r="880" spans="2:16">
      <c r="B880" s="107"/>
      <c r="C880" s="105"/>
      <c r="D880" s="105"/>
      <c r="E880" s="105"/>
      <c r="F880" s="105"/>
      <c r="G880" s="105"/>
      <c r="H880" s="105"/>
      <c r="I880" s="105"/>
      <c r="J880" s="105"/>
      <c r="K880" s="105"/>
      <c r="L880" s="105"/>
      <c r="N880" s="105"/>
      <c r="P880" s="105"/>
    </row>
    <row r="881" spans="2:16">
      <c r="B881" s="107"/>
      <c r="C881" s="105"/>
      <c r="D881" s="105"/>
      <c r="E881" s="105"/>
      <c r="F881" s="105"/>
      <c r="G881" s="105"/>
      <c r="H881" s="105"/>
      <c r="I881" s="105"/>
      <c r="J881" s="105"/>
      <c r="K881" s="105"/>
      <c r="L881" s="105"/>
      <c r="N881" s="105"/>
      <c r="P881" s="105"/>
    </row>
    <row r="882" spans="2:16">
      <c r="B882" s="107"/>
      <c r="C882" s="105"/>
      <c r="D882" s="105"/>
      <c r="E882" s="105"/>
      <c r="F882" s="105"/>
      <c r="G882" s="105"/>
      <c r="H882" s="105"/>
      <c r="I882" s="105"/>
      <c r="J882" s="105"/>
      <c r="K882" s="105"/>
      <c r="L882" s="105"/>
      <c r="N882" s="105"/>
      <c r="P882" s="105"/>
    </row>
    <row r="883" spans="2:16">
      <c r="B883" s="107"/>
      <c r="C883" s="105"/>
      <c r="D883" s="105"/>
      <c r="E883" s="105"/>
      <c r="F883" s="105"/>
      <c r="G883" s="105"/>
      <c r="H883" s="105"/>
      <c r="I883" s="105"/>
      <c r="J883" s="105"/>
      <c r="K883" s="105"/>
      <c r="L883" s="105"/>
      <c r="N883" s="105"/>
      <c r="P883" s="105"/>
    </row>
    <row r="884" spans="2:16">
      <c r="B884" s="107"/>
      <c r="C884" s="105"/>
      <c r="D884" s="105"/>
      <c r="E884" s="105"/>
      <c r="F884" s="105"/>
      <c r="G884" s="105"/>
      <c r="H884" s="105"/>
      <c r="I884" s="105"/>
      <c r="J884" s="105"/>
      <c r="K884" s="105"/>
      <c r="L884" s="105"/>
      <c r="N884" s="105"/>
      <c r="P884" s="105"/>
    </row>
    <row r="885" spans="2:16">
      <c r="B885" s="107"/>
      <c r="C885" s="105"/>
      <c r="D885" s="105"/>
      <c r="E885" s="105"/>
      <c r="F885" s="105"/>
      <c r="G885" s="105"/>
      <c r="H885" s="105"/>
      <c r="I885" s="105"/>
      <c r="J885" s="105"/>
      <c r="K885" s="105"/>
      <c r="L885" s="105"/>
      <c r="N885" s="105"/>
      <c r="P885" s="105"/>
    </row>
    <row r="886" spans="2:16">
      <c r="B886" s="107"/>
      <c r="C886" s="105"/>
      <c r="D886" s="105"/>
      <c r="E886" s="105"/>
      <c r="F886" s="105"/>
      <c r="G886" s="105"/>
      <c r="H886" s="105"/>
      <c r="I886" s="105"/>
      <c r="J886" s="105"/>
      <c r="K886" s="105"/>
      <c r="L886" s="105"/>
      <c r="N886" s="105"/>
      <c r="P886" s="105"/>
    </row>
    <row r="887" spans="2:16">
      <c r="B887" s="107"/>
      <c r="C887" s="105"/>
      <c r="D887" s="105"/>
      <c r="E887" s="105"/>
      <c r="F887" s="105"/>
      <c r="G887" s="105"/>
      <c r="H887" s="105"/>
      <c r="I887" s="105"/>
      <c r="J887" s="105"/>
      <c r="K887" s="105"/>
      <c r="L887" s="105"/>
      <c r="N887" s="105"/>
      <c r="P887" s="105"/>
    </row>
    <row r="888" spans="2:16">
      <c r="B888" s="107"/>
      <c r="C888" s="105"/>
      <c r="D888" s="105"/>
      <c r="E888" s="105"/>
      <c r="F888" s="105"/>
      <c r="G888" s="105"/>
      <c r="H888" s="105"/>
      <c r="I888" s="105"/>
      <c r="J888" s="105"/>
      <c r="K888" s="105"/>
      <c r="L888" s="105"/>
      <c r="N888" s="105"/>
      <c r="P888" s="105"/>
    </row>
    <row r="889" spans="2:16">
      <c r="B889" s="107"/>
      <c r="C889" s="105"/>
      <c r="D889" s="105"/>
      <c r="E889" s="105"/>
      <c r="F889" s="105"/>
      <c r="G889" s="105"/>
      <c r="H889" s="105"/>
      <c r="I889" s="105"/>
      <c r="J889" s="105"/>
      <c r="K889" s="105"/>
      <c r="L889" s="105"/>
      <c r="N889" s="105"/>
      <c r="P889" s="105"/>
    </row>
    <row r="890" spans="2:16">
      <c r="B890" s="107"/>
      <c r="C890" s="105"/>
      <c r="D890" s="105"/>
      <c r="E890" s="105"/>
      <c r="F890" s="105"/>
      <c r="G890" s="105"/>
      <c r="H890" s="105"/>
      <c r="I890" s="105"/>
      <c r="J890" s="105"/>
      <c r="K890" s="105"/>
      <c r="L890" s="105"/>
      <c r="N890" s="105"/>
      <c r="P890" s="105"/>
    </row>
    <row r="891" spans="2:16">
      <c r="B891" s="107"/>
      <c r="C891" s="105"/>
      <c r="D891" s="105"/>
      <c r="E891" s="105"/>
      <c r="F891" s="105"/>
      <c r="G891" s="105"/>
      <c r="H891" s="105"/>
      <c r="I891" s="105"/>
      <c r="J891" s="105"/>
      <c r="K891" s="105"/>
      <c r="L891" s="105"/>
      <c r="N891" s="105"/>
      <c r="P891" s="105"/>
    </row>
    <row r="892" spans="2:16">
      <c r="B892" s="107"/>
      <c r="C892" s="105"/>
      <c r="D892" s="105"/>
      <c r="E892" s="105"/>
      <c r="F892" s="105"/>
      <c r="G892" s="105"/>
      <c r="H892" s="105"/>
      <c r="I892" s="105"/>
      <c r="J892" s="105"/>
      <c r="K892" s="105"/>
      <c r="L892" s="105"/>
      <c r="N892" s="105"/>
      <c r="P892" s="105"/>
    </row>
    <row r="893" spans="2:16">
      <c r="B893" s="107"/>
      <c r="C893" s="105"/>
      <c r="D893" s="105"/>
      <c r="E893" s="105"/>
      <c r="F893" s="105"/>
      <c r="G893" s="105"/>
      <c r="H893" s="105"/>
      <c r="I893" s="105"/>
      <c r="J893" s="105"/>
      <c r="K893" s="105"/>
      <c r="L893" s="105"/>
      <c r="N893" s="105"/>
      <c r="P893" s="105"/>
    </row>
    <row r="894" spans="2:16">
      <c r="B894" s="107"/>
      <c r="C894" s="105"/>
      <c r="D894" s="105"/>
      <c r="E894" s="105"/>
      <c r="F894" s="105"/>
      <c r="G894" s="105"/>
      <c r="H894" s="105"/>
      <c r="I894" s="105"/>
      <c r="J894" s="105"/>
      <c r="K894" s="105"/>
      <c r="L894" s="105"/>
      <c r="N894" s="105"/>
      <c r="P894" s="105"/>
    </row>
    <row r="895" spans="2:16">
      <c r="B895" s="107"/>
      <c r="C895" s="105"/>
      <c r="D895" s="105"/>
      <c r="E895" s="105"/>
      <c r="F895" s="105"/>
      <c r="G895" s="105"/>
      <c r="H895" s="105"/>
      <c r="I895" s="105"/>
      <c r="J895" s="105"/>
      <c r="K895" s="105"/>
      <c r="L895" s="105"/>
      <c r="N895" s="105"/>
      <c r="P895" s="105"/>
    </row>
    <row r="896" spans="2:16">
      <c r="B896" s="107"/>
      <c r="C896" s="105"/>
      <c r="D896" s="105"/>
      <c r="E896" s="105"/>
      <c r="F896" s="105"/>
      <c r="G896" s="105"/>
      <c r="H896" s="105"/>
      <c r="I896" s="105"/>
      <c r="J896" s="105"/>
      <c r="K896" s="105"/>
      <c r="L896" s="105"/>
      <c r="N896" s="105"/>
      <c r="P896" s="105"/>
    </row>
    <row r="897" spans="2:16">
      <c r="B897" s="107"/>
      <c r="C897" s="105"/>
      <c r="D897" s="105"/>
      <c r="E897" s="105"/>
      <c r="F897" s="105"/>
      <c r="G897" s="105"/>
      <c r="H897" s="105"/>
      <c r="I897" s="105"/>
      <c r="J897" s="105"/>
      <c r="K897" s="105"/>
      <c r="L897" s="105"/>
      <c r="N897" s="105"/>
      <c r="P897" s="105"/>
    </row>
    <row r="898" spans="2:16">
      <c r="B898" s="107"/>
      <c r="C898" s="105"/>
      <c r="D898" s="105"/>
      <c r="E898" s="105"/>
      <c r="F898" s="105"/>
      <c r="G898" s="105"/>
      <c r="H898" s="105"/>
      <c r="I898" s="105"/>
      <c r="J898" s="105"/>
      <c r="K898" s="105"/>
      <c r="L898" s="105"/>
      <c r="N898" s="105"/>
      <c r="P898" s="105"/>
    </row>
    <row r="899" spans="2:16">
      <c r="B899" s="107"/>
      <c r="C899" s="105"/>
      <c r="D899" s="105"/>
      <c r="E899" s="105"/>
      <c r="F899" s="105"/>
      <c r="G899" s="105"/>
      <c r="H899" s="105"/>
      <c r="I899" s="105"/>
      <c r="J899" s="105"/>
      <c r="K899" s="105"/>
      <c r="L899" s="105"/>
      <c r="N899" s="105"/>
      <c r="P899" s="105"/>
    </row>
    <row r="900" spans="2:16">
      <c r="B900" s="107"/>
      <c r="C900" s="105"/>
      <c r="D900" s="105"/>
      <c r="E900" s="105"/>
      <c r="F900" s="105"/>
      <c r="G900" s="105"/>
      <c r="H900" s="105"/>
      <c r="I900" s="105"/>
      <c r="J900" s="105"/>
      <c r="K900" s="105"/>
      <c r="L900" s="105"/>
      <c r="N900" s="105"/>
      <c r="P900" s="105"/>
    </row>
    <row r="901" spans="2:16">
      <c r="B901" s="107"/>
      <c r="C901" s="105"/>
      <c r="D901" s="105"/>
      <c r="E901" s="105"/>
      <c r="F901" s="105"/>
      <c r="G901" s="105"/>
      <c r="H901" s="105"/>
      <c r="I901" s="105"/>
      <c r="J901" s="105"/>
      <c r="K901" s="105"/>
      <c r="L901" s="105"/>
      <c r="N901" s="105"/>
      <c r="P901" s="105"/>
    </row>
    <row r="902" spans="2:16">
      <c r="B902" s="107"/>
      <c r="C902" s="105"/>
      <c r="D902" s="105"/>
      <c r="E902" s="105"/>
      <c r="F902" s="105"/>
      <c r="G902" s="105"/>
      <c r="H902" s="105"/>
      <c r="I902" s="105"/>
      <c r="J902" s="105"/>
      <c r="K902" s="105"/>
      <c r="L902" s="105"/>
      <c r="N902" s="105"/>
      <c r="P902" s="105"/>
    </row>
    <row r="903" spans="2:16">
      <c r="B903" s="107"/>
      <c r="C903" s="105"/>
      <c r="D903" s="105"/>
      <c r="E903" s="105"/>
      <c r="F903" s="105"/>
      <c r="G903" s="105"/>
      <c r="H903" s="105"/>
      <c r="I903" s="105"/>
      <c r="J903" s="105"/>
      <c r="K903" s="105"/>
      <c r="L903" s="105"/>
      <c r="N903" s="105"/>
      <c r="P903" s="105"/>
    </row>
    <row r="904" spans="2:16">
      <c r="B904" s="107"/>
      <c r="C904" s="105"/>
      <c r="D904" s="105"/>
      <c r="E904" s="105"/>
      <c r="F904" s="105"/>
      <c r="G904" s="105"/>
      <c r="H904" s="105"/>
      <c r="I904" s="105"/>
      <c r="J904" s="105"/>
      <c r="K904" s="105"/>
      <c r="L904" s="105"/>
      <c r="N904" s="105"/>
      <c r="P904" s="105"/>
    </row>
    <row r="905" spans="2:16">
      <c r="B905" s="107"/>
      <c r="C905" s="105"/>
      <c r="D905" s="105"/>
      <c r="E905" s="105"/>
      <c r="F905" s="105"/>
      <c r="G905" s="105"/>
      <c r="H905" s="105"/>
      <c r="I905" s="105"/>
      <c r="J905" s="105"/>
      <c r="K905" s="105"/>
      <c r="L905" s="105"/>
      <c r="N905" s="105"/>
      <c r="P905" s="105"/>
    </row>
    <row r="906" spans="2:16">
      <c r="B906" s="107"/>
      <c r="C906" s="105"/>
      <c r="D906" s="105"/>
      <c r="E906" s="105"/>
      <c r="F906" s="105"/>
      <c r="G906" s="105"/>
      <c r="H906" s="105"/>
      <c r="I906" s="105"/>
      <c r="J906" s="105"/>
      <c r="K906" s="105"/>
      <c r="L906" s="105"/>
      <c r="N906" s="105"/>
      <c r="P906" s="105"/>
    </row>
    <row r="907" spans="2:16">
      <c r="B907" s="107"/>
      <c r="C907" s="105"/>
      <c r="D907" s="105"/>
      <c r="E907" s="105"/>
      <c r="F907" s="105"/>
      <c r="G907" s="105"/>
      <c r="H907" s="105"/>
      <c r="I907" s="105"/>
      <c r="J907" s="105"/>
      <c r="K907" s="105"/>
      <c r="L907" s="105"/>
      <c r="N907" s="105"/>
      <c r="P907" s="105"/>
    </row>
    <row r="908" spans="2:16">
      <c r="B908" s="107"/>
      <c r="C908" s="105"/>
      <c r="D908" s="105"/>
      <c r="E908" s="105"/>
      <c r="F908" s="105"/>
      <c r="G908" s="105"/>
      <c r="H908" s="105"/>
      <c r="I908" s="105"/>
      <c r="J908" s="105"/>
      <c r="K908" s="105"/>
      <c r="L908" s="105"/>
      <c r="N908" s="105"/>
      <c r="P908" s="105"/>
    </row>
    <row r="909" spans="2:16">
      <c r="B909" s="107"/>
      <c r="C909" s="105"/>
      <c r="D909" s="105"/>
      <c r="E909" s="105"/>
      <c r="F909" s="105"/>
      <c r="G909" s="105"/>
      <c r="H909" s="105"/>
      <c r="I909" s="105"/>
      <c r="J909" s="105"/>
      <c r="K909" s="105"/>
      <c r="L909" s="105"/>
      <c r="N909" s="105"/>
      <c r="P909" s="105"/>
    </row>
    <row r="910" spans="2:16">
      <c r="B910" s="107"/>
      <c r="C910" s="105"/>
      <c r="D910" s="105"/>
      <c r="E910" s="105"/>
      <c r="F910" s="105"/>
      <c r="G910" s="105"/>
      <c r="H910" s="105"/>
      <c r="I910" s="105"/>
      <c r="J910" s="105"/>
      <c r="K910" s="105"/>
      <c r="L910" s="105"/>
      <c r="N910" s="105"/>
      <c r="P910" s="105"/>
    </row>
    <row r="911" spans="2:16">
      <c r="B911" s="107"/>
      <c r="C911" s="105"/>
      <c r="D911" s="105"/>
      <c r="E911" s="105"/>
      <c r="F911" s="105"/>
      <c r="G911" s="105"/>
      <c r="H911" s="105"/>
      <c r="I911" s="105"/>
      <c r="J911" s="105"/>
      <c r="K911" s="105"/>
      <c r="L911" s="105"/>
      <c r="N911" s="105"/>
      <c r="P911" s="105"/>
    </row>
    <row r="912" spans="2:16">
      <c r="B912" s="107"/>
      <c r="C912" s="105"/>
      <c r="D912" s="105"/>
      <c r="E912" s="105"/>
      <c r="F912" s="105"/>
      <c r="G912" s="105"/>
      <c r="H912" s="105"/>
      <c r="I912" s="105"/>
      <c r="J912" s="105"/>
      <c r="K912" s="105"/>
      <c r="L912" s="105"/>
      <c r="N912" s="105"/>
      <c r="P912" s="105"/>
    </row>
    <row r="913" spans="2:16">
      <c r="B913" s="107"/>
      <c r="C913" s="105"/>
      <c r="D913" s="105"/>
      <c r="E913" s="105"/>
      <c r="F913" s="105"/>
      <c r="G913" s="105"/>
      <c r="H913" s="105"/>
      <c r="I913" s="105"/>
      <c r="J913" s="105"/>
      <c r="K913" s="105"/>
      <c r="L913" s="105"/>
      <c r="N913" s="105"/>
      <c r="P913" s="105"/>
    </row>
    <row r="914" spans="2:16">
      <c r="B914" s="107"/>
      <c r="C914" s="105"/>
      <c r="D914" s="105"/>
      <c r="E914" s="105"/>
      <c r="F914" s="105"/>
      <c r="G914" s="105"/>
      <c r="H914" s="105"/>
      <c r="I914" s="105"/>
      <c r="J914" s="105"/>
      <c r="K914" s="105"/>
      <c r="L914" s="105"/>
      <c r="N914" s="105"/>
      <c r="P914" s="105"/>
    </row>
    <row r="915" spans="2:16">
      <c r="B915" s="107"/>
      <c r="C915" s="105"/>
      <c r="D915" s="105"/>
      <c r="E915" s="105"/>
      <c r="F915" s="105"/>
      <c r="G915" s="105"/>
      <c r="H915" s="105"/>
      <c r="I915" s="105"/>
      <c r="J915" s="105"/>
      <c r="K915" s="105"/>
      <c r="L915" s="105"/>
      <c r="N915" s="105"/>
      <c r="P915" s="105"/>
    </row>
    <row r="916" spans="2:16">
      <c r="B916" s="107"/>
      <c r="C916" s="105"/>
      <c r="D916" s="105"/>
      <c r="E916" s="105"/>
      <c r="F916" s="105"/>
      <c r="G916" s="105"/>
      <c r="H916" s="105"/>
      <c r="I916" s="105"/>
      <c r="J916" s="105"/>
      <c r="K916" s="105"/>
      <c r="L916" s="105"/>
      <c r="N916" s="105"/>
      <c r="P916" s="105"/>
    </row>
    <row r="917" spans="2:16">
      <c r="B917" s="107"/>
      <c r="C917" s="105"/>
      <c r="D917" s="105"/>
      <c r="E917" s="105"/>
      <c r="F917" s="105"/>
      <c r="G917" s="105"/>
      <c r="H917" s="105"/>
      <c r="I917" s="105"/>
      <c r="J917" s="105"/>
      <c r="K917" s="105"/>
      <c r="L917" s="105"/>
      <c r="N917" s="105"/>
      <c r="P917" s="105"/>
    </row>
    <row r="918" spans="2:16">
      <c r="B918" s="107"/>
      <c r="C918" s="105"/>
      <c r="D918" s="105"/>
      <c r="E918" s="105"/>
      <c r="F918" s="105"/>
      <c r="G918" s="105"/>
      <c r="H918" s="105"/>
      <c r="I918" s="105"/>
      <c r="J918" s="105"/>
      <c r="K918" s="105"/>
      <c r="L918" s="105"/>
      <c r="N918" s="105"/>
      <c r="P918" s="105"/>
    </row>
    <row r="919" spans="2:16">
      <c r="B919" s="107"/>
      <c r="C919" s="105"/>
      <c r="D919" s="105"/>
      <c r="E919" s="105"/>
      <c r="F919" s="105"/>
      <c r="G919" s="105"/>
      <c r="H919" s="105"/>
      <c r="I919" s="105"/>
      <c r="J919" s="105"/>
      <c r="K919" s="105"/>
      <c r="L919" s="105"/>
      <c r="N919" s="105"/>
      <c r="P919" s="105"/>
    </row>
    <row r="920" spans="2:16">
      <c r="B920" s="107"/>
      <c r="C920" s="105"/>
      <c r="D920" s="105"/>
      <c r="E920" s="105"/>
      <c r="F920" s="105"/>
      <c r="G920" s="105"/>
      <c r="H920" s="105"/>
      <c r="I920" s="105"/>
      <c r="J920" s="105"/>
      <c r="K920" s="105"/>
      <c r="L920" s="105"/>
      <c r="N920" s="105"/>
      <c r="P920" s="105"/>
    </row>
    <row r="921" spans="2:16">
      <c r="B921" s="107"/>
      <c r="C921" s="105"/>
      <c r="D921" s="105"/>
      <c r="E921" s="105"/>
      <c r="F921" s="105"/>
      <c r="G921" s="105"/>
      <c r="H921" s="105"/>
      <c r="I921" s="105"/>
      <c r="J921" s="105"/>
      <c r="K921" s="105"/>
      <c r="L921" s="105"/>
      <c r="N921" s="105"/>
      <c r="P921" s="105"/>
    </row>
    <row r="922" spans="2:16">
      <c r="B922" s="107"/>
      <c r="C922" s="105"/>
      <c r="D922" s="105"/>
      <c r="E922" s="105"/>
      <c r="F922" s="105"/>
      <c r="G922" s="105"/>
      <c r="H922" s="105"/>
      <c r="I922" s="105"/>
      <c r="J922" s="105"/>
      <c r="K922" s="105"/>
      <c r="L922" s="105"/>
      <c r="N922" s="105"/>
      <c r="P922" s="105"/>
    </row>
    <row r="923" spans="2:16">
      <c r="B923" s="107"/>
      <c r="C923" s="105"/>
      <c r="D923" s="105"/>
      <c r="E923" s="105"/>
      <c r="F923" s="105"/>
      <c r="G923" s="105"/>
      <c r="H923" s="105"/>
      <c r="I923" s="105"/>
      <c r="J923" s="105"/>
      <c r="K923" s="105"/>
      <c r="L923" s="105"/>
      <c r="N923" s="105"/>
      <c r="P923" s="105"/>
    </row>
    <row r="924" spans="2:16">
      <c r="B924" s="107"/>
      <c r="C924" s="105"/>
      <c r="D924" s="105"/>
      <c r="E924" s="105"/>
      <c r="F924" s="105"/>
      <c r="G924" s="105"/>
      <c r="H924" s="105"/>
      <c r="I924" s="105"/>
      <c r="J924" s="105"/>
      <c r="K924" s="105"/>
      <c r="L924" s="105"/>
      <c r="N924" s="105"/>
      <c r="P924" s="105"/>
    </row>
    <row r="925" spans="2:16">
      <c r="B925" s="107"/>
      <c r="C925" s="105"/>
      <c r="D925" s="105"/>
      <c r="E925" s="105"/>
      <c r="F925" s="105"/>
      <c r="G925" s="105"/>
      <c r="H925" s="105"/>
      <c r="I925" s="105"/>
      <c r="J925" s="105"/>
      <c r="K925" s="105"/>
      <c r="L925" s="105"/>
      <c r="N925" s="105"/>
      <c r="P925" s="105"/>
    </row>
    <row r="926" spans="2:16">
      <c r="B926" s="107"/>
      <c r="C926" s="105"/>
      <c r="D926" s="105"/>
      <c r="E926" s="105"/>
      <c r="F926" s="105"/>
      <c r="G926" s="105"/>
      <c r="H926" s="105"/>
      <c r="I926" s="105"/>
      <c r="J926" s="105"/>
      <c r="K926" s="105"/>
      <c r="L926" s="105"/>
      <c r="N926" s="105"/>
      <c r="P926" s="105"/>
    </row>
    <row r="927" spans="2:16">
      <c r="B927" s="107"/>
      <c r="C927" s="105"/>
      <c r="D927" s="105"/>
      <c r="E927" s="105"/>
      <c r="F927" s="105"/>
      <c r="G927" s="105"/>
      <c r="H927" s="105"/>
      <c r="I927" s="105"/>
      <c r="J927" s="105"/>
      <c r="K927" s="105"/>
      <c r="L927" s="105"/>
      <c r="N927" s="105"/>
      <c r="P927" s="105"/>
    </row>
    <row r="928" spans="2:16">
      <c r="B928" s="107"/>
      <c r="C928" s="105"/>
      <c r="D928" s="105"/>
      <c r="E928" s="105"/>
      <c r="F928" s="105"/>
      <c r="G928" s="105"/>
      <c r="H928" s="105"/>
      <c r="I928" s="105"/>
      <c r="J928" s="105"/>
      <c r="K928" s="105"/>
      <c r="L928" s="105"/>
      <c r="N928" s="105"/>
      <c r="P928" s="105"/>
    </row>
    <row r="929" spans="2:16">
      <c r="B929" s="107"/>
      <c r="C929" s="105"/>
      <c r="D929" s="105"/>
      <c r="E929" s="105"/>
      <c r="F929" s="105"/>
      <c r="G929" s="105"/>
      <c r="H929" s="105"/>
      <c r="I929" s="105"/>
      <c r="J929" s="105"/>
      <c r="K929" s="105"/>
      <c r="L929" s="105"/>
      <c r="N929" s="105"/>
      <c r="P929" s="105"/>
    </row>
    <row r="930" spans="2:16">
      <c r="B930" s="107"/>
      <c r="C930" s="105"/>
      <c r="D930" s="105"/>
      <c r="E930" s="105"/>
      <c r="F930" s="105"/>
      <c r="G930" s="105"/>
      <c r="H930" s="105"/>
      <c r="I930" s="105"/>
      <c r="J930" s="105"/>
      <c r="K930" s="105"/>
      <c r="L930" s="105"/>
      <c r="N930" s="105"/>
      <c r="P930" s="105"/>
    </row>
    <row r="931" spans="2:16">
      <c r="B931" s="107"/>
      <c r="C931" s="105"/>
      <c r="D931" s="105"/>
      <c r="E931" s="105"/>
      <c r="F931" s="105"/>
      <c r="G931" s="105"/>
      <c r="H931" s="105"/>
      <c r="I931" s="105"/>
      <c r="J931" s="105"/>
      <c r="K931" s="105"/>
      <c r="L931" s="105"/>
      <c r="N931" s="105"/>
      <c r="P931" s="105"/>
    </row>
    <row r="932" spans="2:16">
      <c r="B932" s="107"/>
      <c r="C932" s="105"/>
      <c r="D932" s="105"/>
      <c r="E932" s="105"/>
      <c r="F932" s="105"/>
      <c r="G932" s="105"/>
      <c r="H932" s="105"/>
      <c r="I932" s="105"/>
      <c r="J932" s="105"/>
      <c r="K932" s="105"/>
      <c r="L932" s="105"/>
      <c r="N932" s="105"/>
      <c r="P932" s="105"/>
    </row>
    <row r="933" spans="2:16">
      <c r="B933" s="107"/>
      <c r="C933" s="105"/>
      <c r="D933" s="105"/>
      <c r="E933" s="105"/>
      <c r="F933" s="105"/>
      <c r="G933" s="105"/>
      <c r="H933" s="105"/>
      <c r="I933" s="105"/>
      <c r="J933" s="105"/>
      <c r="K933" s="105"/>
      <c r="L933" s="105"/>
      <c r="N933" s="105"/>
      <c r="P933" s="105"/>
    </row>
    <row r="934" spans="2:16">
      <c r="B934" s="107"/>
      <c r="C934" s="105"/>
      <c r="D934" s="105"/>
      <c r="E934" s="105"/>
      <c r="F934" s="105"/>
      <c r="G934" s="105"/>
      <c r="H934" s="105"/>
      <c r="I934" s="105"/>
      <c r="J934" s="105"/>
      <c r="K934" s="105"/>
      <c r="L934" s="105"/>
      <c r="N934" s="105"/>
      <c r="P934" s="105"/>
    </row>
    <row r="935" spans="2:16">
      <c r="B935" s="107"/>
      <c r="C935" s="105"/>
      <c r="D935" s="105"/>
      <c r="E935" s="105"/>
      <c r="F935" s="105"/>
      <c r="G935" s="105"/>
      <c r="H935" s="105"/>
      <c r="I935" s="105"/>
      <c r="J935" s="105"/>
      <c r="K935" s="105"/>
      <c r="L935" s="105"/>
      <c r="N935" s="105"/>
      <c r="P935" s="105"/>
    </row>
    <row r="936" spans="2:16">
      <c r="B936" s="107"/>
      <c r="C936" s="105"/>
      <c r="D936" s="105"/>
      <c r="E936" s="105"/>
      <c r="F936" s="105"/>
      <c r="G936" s="105"/>
      <c r="H936" s="105"/>
      <c r="I936" s="105"/>
      <c r="J936" s="105"/>
      <c r="K936" s="105"/>
      <c r="L936" s="105"/>
      <c r="N936" s="105"/>
      <c r="P936" s="105"/>
    </row>
    <row r="937" spans="2:16">
      <c r="B937" s="107"/>
      <c r="C937" s="105"/>
      <c r="D937" s="105"/>
      <c r="E937" s="105"/>
      <c r="F937" s="105"/>
      <c r="G937" s="105"/>
      <c r="H937" s="105"/>
      <c r="I937" s="105"/>
      <c r="J937" s="105"/>
      <c r="K937" s="105"/>
      <c r="L937" s="105"/>
      <c r="N937" s="105"/>
      <c r="P937" s="105"/>
    </row>
    <row r="938" spans="2:16">
      <c r="B938" s="107"/>
      <c r="C938" s="105"/>
      <c r="D938" s="105"/>
      <c r="E938" s="105"/>
      <c r="F938" s="105"/>
      <c r="G938" s="105"/>
      <c r="H938" s="105"/>
      <c r="I938" s="105"/>
      <c r="J938" s="105"/>
      <c r="K938" s="105"/>
      <c r="L938" s="105"/>
      <c r="N938" s="105"/>
      <c r="P938" s="105"/>
    </row>
    <row r="939" spans="2:16">
      <c r="B939" s="107"/>
      <c r="C939" s="105"/>
      <c r="D939" s="105"/>
      <c r="E939" s="105"/>
      <c r="F939" s="105"/>
      <c r="G939" s="105"/>
      <c r="H939" s="105"/>
      <c r="I939" s="105"/>
      <c r="J939" s="105"/>
      <c r="K939" s="105"/>
      <c r="L939" s="105"/>
      <c r="N939" s="105"/>
      <c r="P939" s="105"/>
    </row>
    <row r="940" spans="2:16">
      <c r="B940" s="107"/>
      <c r="C940" s="105"/>
      <c r="D940" s="105"/>
      <c r="E940" s="105"/>
      <c r="F940" s="105"/>
      <c r="G940" s="105"/>
      <c r="H940" s="105"/>
      <c r="I940" s="105"/>
      <c r="J940" s="105"/>
      <c r="K940" s="105"/>
      <c r="L940" s="105"/>
      <c r="N940" s="105"/>
      <c r="P940" s="105"/>
    </row>
    <row r="941" spans="2:16">
      <c r="B941" s="107"/>
      <c r="C941" s="105"/>
      <c r="D941" s="105"/>
      <c r="E941" s="105"/>
      <c r="F941" s="105"/>
      <c r="G941" s="105"/>
      <c r="H941" s="105"/>
      <c r="I941" s="105"/>
      <c r="J941" s="105"/>
      <c r="K941" s="105"/>
      <c r="L941" s="105"/>
      <c r="N941" s="105"/>
      <c r="P941" s="105"/>
    </row>
    <row r="942" spans="2:16">
      <c r="B942" s="107"/>
      <c r="C942" s="105"/>
      <c r="D942" s="105"/>
      <c r="E942" s="105"/>
      <c r="F942" s="105"/>
      <c r="G942" s="105"/>
      <c r="H942" s="105"/>
      <c r="I942" s="105"/>
      <c r="J942" s="105"/>
      <c r="K942" s="105"/>
      <c r="L942" s="105"/>
      <c r="N942" s="105"/>
      <c r="P942" s="105"/>
    </row>
    <row r="943" spans="2:16">
      <c r="B943" s="107"/>
      <c r="C943" s="105"/>
      <c r="D943" s="105"/>
      <c r="E943" s="105"/>
      <c r="F943" s="105"/>
      <c r="G943" s="105"/>
      <c r="H943" s="105"/>
      <c r="I943" s="105"/>
      <c r="J943" s="105"/>
      <c r="K943" s="105"/>
      <c r="L943" s="105"/>
      <c r="N943" s="105"/>
      <c r="P943" s="105"/>
    </row>
    <row r="944" spans="2:16">
      <c r="B944" s="107"/>
      <c r="C944" s="105"/>
      <c r="D944" s="105"/>
      <c r="E944" s="105"/>
      <c r="F944" s="105"/>
      <c r="G944" s="105"/>
      <c r="H944" s="105"/>
      <c r="I944" s="105"/>
      <c r="J944" s="105"/>
      <c r="K944" s="105"/>
      <c r="L944" s="105"/>
      <c r="N944" s="105"/>
      <c r="P944" s="105"/>
    </row>
    <row r="945" spans="2:16">
      <c r="B945" s="107"/>
      <c r="C945" s="105"/>
      <c r="D945" s="105"/>
      <c r="E945" s="105"/>
      <c r="F945" s="105"/>
      <c r="G945" s="105"/>
      <c r="H945" s="105"/>
      <c r="I945" s="105"/>
      <c r="J945" s="105"/>
      <c r="K945" s="105"/>
      <c r="L945" s="105"/>
      <c r="N945" s="105"/>
      <c r="P945" s="105"/>
    </row>
    <row r="946" spans="2:16">
      <c r="B946" s="107"/>
      <c r="C946" s="105"/>
      <c r="D946" s="105"/>
      <c r="E946" s="105"/>
      <c r="F946" s="105"/>
      <c r="G946" s="105"/>
      <c r="H946" s="105"/>
      <c r="I946" s="105"/>
      <c r="J946" s="105"/>
      <c r="K946" s="105"/>
      <c r="L946" s="105"/>
      <c r="N946" s="105"/>
      <c r="P946" s="105"/>
    </row>
    <row r="947" spans="2:16">
      <c r="B947" s="107"/>
      <c r="C947" s="105"/>
      <c r="D947" s="105"/>
      <c r="E947" s="105"/>
      <c r="F947" s="105"/>
      <c r="G947" s="105"/>
      <c r="H947" s="105"/>
      <c r="I947" s="105"/>
      <c r="J947" s="105"/>
      <c r="K947" s="105"/>
      <c r="L947" s="105"/>
      <c r="N947" s="105"/>
      <c r="P947" s="105"/>
    </row>
    <row r="948" spans="2:16">
      <c r="B948" s="107"/>
      <c r="C948" s="105"/>
      <c r="D948" s="105"/>
      <c r="E948" s="105"/>
      <c r="F948" s="105"/>
      <c r="G948" s="105"/>
      <c r="H948" s="105"/>
      <c r="I948" s="105"/>
      <c r="J948" s="105"/>
      <c r="K948" s="105"/>
      <c r="L948" s="105"/>
      <c r="N948" s="105"/>
      <c r="P948" s="105"/>
    </row>
    <row r="949" spans="2:16">
      <c r="B949" s="107"/>
      <c r="C949" s="105"/>
      <c r="D949" s="105"/>
      <c r="E949" s="105"/>
      <c r="F949" s="105"/>
      <c r="G949" s="105"/>
      <c r="H949" s="105"/>
      <c r="I949" s="105"/>
      <c r="J949" s="105"/>
      <c r="K949" s="105"/>
      <c r="L949" s="105"/>
      <c r="N949" s="105"/>
      <c r="P949" s="105"/>
    </row>
    <row r="950" spans="2:16">
      <c r="B950" s="107"/>
      <c r="C950" s="105"/>
      <c r="D950" s="105"/>
      <c r="E950" s="105"/>
      <c r="F950" s="105"/>
      <c r="G950" s="105"/>
      <c r="H950" s="105"/>
      <c r="I950" s="105"/>
      <c r="J950" s="105"/>
      <c r="K950" s="105"/>
      <c r="L950" s="105"/>
      <c r="N950" s="105"/>
      <c r="P950" s="105"/>
    </row>
    <row r="951" spans="2:16">
      <c r="B951" s="107"/>
      <c r="C951" s="105"/>
      <c r="D951" s="105"/>
      <c r="E951" s="105"/>
      <c r="F951" s="105"/>
      <c r="G951" s="105"/>
      <c r="H951" s="105"/>
      <c r="I951" s="105"/>
      <c r="J951" s="105"/>
      <c r="K951" s="105"/>
      <c r="L951" s="105"/>
      <c r="N951" s="105"/>
      <c r="P951" s="105"/>
    </row>
    <row r="952" spans="2:16">
      <c r="B952" s="107"/>
      <c r="C952" s="105"/>
      <c r="D952" s="105"/>
      <c r="E952" s="105"/>
      <c r="F952" s="105"/>
      <c r="G952" s="105"/>
      <c r="H952" s="105"/>
      <c r="I952" s="105"/>
      <c r="J952" s="105"/>
      <c r="K952" s="105"/>
      <c r="L952" s="105"/>
      <c r="N952" s="105"/>
      <c r="P952" s="105"/>
    </row>
    <row r="953" spans="2:16">
      <c r="B953" s="107"/>
      <c r="C953" s="105"/>
      <c r="D953" s="105"/>
      <c r="E953" s="105"/>
      <c r="F953" s="105"/>
      <c r="G953" s="105"/>
      <c r="H953" s="105"/>
      <c r="I953" s="105"/>
      <c r="J953" s="105"/>
      <c r="K953" s="105"/>
      <c r="L953" s="105"/>
      <c r="N953" s="105"/>
      <c r="P953" s="105"/>
    </row>
    <row r="954" spans="2:16">
      <c r="B954" s="107"/>
      <c r="C954" s="105"/>
      <c r="D954" s="105"/>
      <c r="E954" s="105"/>
      <c r="F954" s="105"/>
      <c r="G954" s="105"/>
      <c r="H954" s="105"/>
      <c r="I954" s="105"/>
      <c r="J954" s="105"/>
      <c r="K954" s="105"/>
      <c r="L954" s="105"/>
      <c r="N954" s="105"/>
      <c r="P954" s="105"/>
    </row>
    <row r="955" spans="2:16">
      <c r="B955" s="107"/>
      <c r="C955" s="105"/>
      <c r="D955" s="105"/>
      <c r="E955" s="105"/>
      <c r="F955" s="105"/>
      <c r="G955" s="105"/>
      <c r="H955" s="105"/>
      <c r="I955" s="105"/>
      <c r="J955" s="105"/>
      <c r="K955" s="105"/>
      <c r="L955" s="105"/>
      <c r="N955" s="105"/>
      <c r="P955" s="105"/>
    </row>
    <row r="956" spans="2:16">
      <c r="B956" s="107"/>
      <c r="C956" s="105"/>
      <c r="D956" s="105"/>
      <c r="E956" s="105"/>
      <c r="F956" s="105"/>
      <c r="G956" s="105"/>
      <c r="H956" s="105"/>
      <c r="I956" s="105"/>
      <c r="J956" s="105"/>
      <c r="K956" s="105"/>
      <c r="L956" s="105"/>
      <c r="N956" s="105"/>
      <c r="P956" s="105"/>
    </row>
    <row r="957" spans="2:16">
      <c r="B957" s="107"/>
      <c r="C957" s="105"/>
      <c r="D957" s="105"/>
      <c r="E957" s="105"/>
      <c r="F957" s="105"/>
      <c r="G957" s="105"/>
      <c r="H957" s="105"/>
      <c r="I957" s="105"/>
      <c r="J957" s="105"/>
      <c r="K957" s="105"/>
      <c r="L957" s="105"/>
      <c r="N957" s="105"/>
      <c r="P957" s="105"/>
    </row>
    <row r="958" spans="2:16">
      <c r="B958" s="107"/>
      <c r="C958" s="105"/>
      <c r="D958" s="105"/>
      <c r="E958" s="105"/>
      <c r="F958" s="105"/>
      <c r="G958" s="105"/>
      <c r="H958" s="105"/>
      <c r="I958" s="105"/>
      <c r="J958" s="105"/>
      <c r="K958" s="105"/>
      <c r="L958" s="105"/>
      <c r="N958" s="105"/>
      <c r="P958" s="105"/>
    </row>
    <row r="959" spans="2:16">
      <c r="B959" s="107"/>
      <c r="C959" s="105"/>
      <c r="D959" s="105"/>
      <c r="E959" s="105"/>
      <c r="F959" s="105"/>
      <c r="G959" s="105"/>
      <c r="H959" s="105"/>
      <c r="I959" s="105"/>
      <c r="J959" s="105"/>
      <c r="K959" s="105"/>
      <c r="L959" s="105"/>
      <c r="N959" s="105"/>
      <c r="P959" s="105"/>
    </row>
    <row r="960" spans="2:16">
      <c r="B960" s="107"/>
      <c r="C960" s="105"/>
      <c r="D960" s="105"/>
      <c r="E960" s="105"/>
      <c r="F960" s="105"/>
      <c r="G960" s="105"/>
      <c r="H960" s="105"/>
      <c r="I960" s="105"/>
      <c r="J960" s="105"/>
      <c r="K960" s="105"/>
      <c r="L960" s="105"/>
      <c r="N960" s="105"/>
      <c r="P960" s="105"/>
    </row>
    <row r="961" spans="2:16">
      <c r="B961" s="107"/>
      <c r="C961" s="105"/>
      <c r="D961" s="105"/>
      <c r="E961" s="105"/>
      <c r="F961" s="105"/>
      <c r="G961" s="105"/>
      <c r="H961" s="105"/>
      <c r="I961" s="105"/>
      <c r="J961" s="105"/>
      <c r="K961" s="105"/>
      <c r="L961" s="105"/>
      <c r="N961" s="105"/>
      <c r="P961" s="105"/>
    </row>
    <row r="962" spans="2:16">
      <c r="B962" s="107"/>
      <c r="C962" s="105"/>
      <c r="D962" s="105"/>
      <c r="E962" s="105"/>
      <c r="F962" s="105"/>
      <c r="G962" s="105"/>
      <c r="H962" s="105"/>
      <c r="I962" s="105"/>
      <c r="J962" s="105"/>
      <c r="K962" s="105"/>
      <c r="L962" s="105"/>
      <c r="N962" s="105"/>
      <c r="P962" s="105"/>
    </row>
    <row r="963" spans="2:16">
      <c r="B963" s="107"/>
      <c r="C963" s="105"/>
      <c r="D963" s="105"/>
      <c r="E963" s="105"/>
      <c r="F963" s="105"/>
      <c r="G963" s="105"/>
      <c r="H963" s="105"/>
      <c r="I963" s="105"/>
      <c r="J963" s="105"/>
      <c r="K963" s="105"/>
      <c r="L963" s="105"/>
      <c r="N963" s="105"/>
      <c r="P963" s="105"/>
    </row>
    <row r="964" spans="2:16">
      <c r="B964" s="107"/>
      <c r="C964" s="105"/>
      <c r="D964" s="105"/>
      <c r="E964" s="105"/>
      <c r="F964" s="105"/>
      <c r="G964" s="105"/>
      <c r="H964" s="105"/>
      <c r="I964" s="105"/>
      <c r="J964" s="105"/>
      <c r="K964" s="105"/>
      <c r="L964" s="105"/>
      <c r="N964" s="105"/>
      <c r="P964" s="105"/>
    </row>
    <row r="965" spans="2:16">
      <c r="B965" s="107"/>
      <c r="C965" s="105"/>
      <c r="D965" s="105"/>
      <c r="E965" s="105"/>
      <c r="F965" s="105"/>
      <c r="G965" s="105"/>
      <c r="H965" s="105"/>
      <c r="I965" s="105"/>
      <c r="J965" s="105"/>
      <c r="K965" s="105"/>
      <c r="L965" s="105"/>
      <c r="N965" s="105"/>
      <c r="P965" s="105"/>
    </row>
    <row r="966" spans="2:16">
      <c r="B966" s="107"/>
      <c r="C966" s="105"/>
      <c r="D966" s="105"/>
      <c r="E966" s="105"/>
      <c r="F966" s="105"/>
      <c r="G966" s="105"/>
      <c r="H966" s="105"/>
      <c r="I966" s="105"/>
      <c r="J966" s="105"/>
      <c r="K966" s="105"/>
      <c r="L966" s="105"/>
      <c r="N966" s="105"/>
      <c r="P966" s="105"/>
    </row>
    <row r="967" spans="2:16">
      <c r="B967" s="107"/>
      <c r="C967" s="105"/>
      <c r="D967" s="105"/>
      <c r="E967" s="105"/>
      <c r="F967" s="105"/>
      <c r="G967" s="105"/>
      <c r="H967" s="105"/>
      <c r="I967" s="105"/>
      <c r="J967" s="105"/>
      <c r="K967" s="105"/>
      <c r="L967" s="105"/>
      <c r="N967" s="105"/>
      <c r="P967" s="105"/>
    </row>
    <row r="968" spans="2:16">
      <c r="B968" s="107"/>
      <c r="C968" s="105"/>
      <c r="D968" s="105"/>
      <c r="E968" s="105"/>
      <c r="F968" s="105"/>
      <c r="G968" s="105"/>
      <c r="H968" s="105"/>
      <c r="I968" s="105"/>
      <c r="J968" s="105"/>
      <c r="K968" s="105"/>
      <c r="L968" s="105"/>
      <c r="N968" s="105"/>
      <c r="P968" s="105"/>
    </row>
    <row r="969" spans="2:16">
      <c r="B969" s="107"/>
      <c r="C969" s="105"/>
      <c r="D969" s="105"/>
      <c r="E969" s="105"/>
      <c r="F969" s="105"/>
      <c r="G969" s="105"/>
      <c r="H969" s="105"/>
      <c r="I969" s="105"/>
      <c r="J969" s="105"/>
      <c r="K969" s="105"/>
      <c r="L969" s="105"/>
      <c r="N969" s="105"/>
      <c r="P969" s="105"/>
    </row>
    <row r="970" spans="2:16">
      <c r="B970" s="107"/>
      <c r="C970" s="105"/>
      <c r="D970" s="105"/>
      <c r="E970" s="105"/>
      <c r="F970" s="105"/>
      <c r="G970" s="105"/>
      <c r="H970" s="105"/>
      <c r="I970" s="105"/>
      <c r="J970" s="105"/>
      <c r="K970" s="105"/>
      <c r="L970" s="105"/>
      <c r="N970" s="105"/>
      <c r="P970" s="105"/>
    </row>
    <row r="971" spans="2:16">
      <c r="B971" s="107"/>
      <c r="C971" s="105"/>
      <c r="D971" s="105"/>
      <c r="E971" s="105"/>
      <c r="F971" s="105"/>
      <c r="G971" s="105"/>
      <c r="H971" s="105"/>
      <c r="I971" s="105"/>
      <c r="J971" s="105"/>
      <c r="K971" s="105"/>
      <c r="L971" s="105"/>
      <c r="N971" s="105"/>
      <c r="P971" s="105"/>
    </row>
    <row r="972" spans="2:16">
      <c r="B972" s="107"/>
      <c r="C972" s="105"/>
      <c r="D972" s="105"/>
      <c r="E972" s="105"/>
      <c r="F972" s="105"/>
      <c r="G972" s="105"/>
      <c r="H972" s="105"/>
      <c r="I972" s="105"/>
      <c r="J972" s="105"/>
      <c r="K972" s="105"/>
      <c r="L972" s="105"/>
      <c r="N972" s="105"/>
      <c r="P972" s="105"/>
    </row>
    <row r="973" spans="2:16">
      <c r="B973" s="107"/>
      <c r="C973" s="105"/>
      <c r="D973" s="105"/>
      <c r="E973" s="105"/>
      <c r="F973" s="105"/>
      <c r="G973" s="105"/>
      <c r="H973" s="105"/>
      <c r="I973" s="105"/>
      <c r="J973" s="105"/>
      <c r="K973" s="105"/>
      <c r="L973" s="105"/>
      <c r="N973" s="105"/>
      <c r="P973" s="105"/>
    </row>
    <row r="974" spans="2:16">
      <c r="B974" s="107"/>
      <c r="C974" s="105"/>
      <c r="D974" s="105"/>
      <c r="E974" s="105"/>
      <c r="F974" s="105"/>
      <c r="G974" s="105"/>
      <c r="H974" s="105"/>
      <c r="I974" s="105"/>
      <c r="J974" s="105"/>
      <c r="K974" s="105"/>
      <c r="L974" s="105"/>
      <c r="N974" s="105"/>
      <c r="P974" s="105"/>
    </row>
    <row r="975" spans="2:16">
      <c r="B975" s="107"/>
      <c r="C975" s="105"/>
      <c r="D975" s="105"/>
      <c r="E975" s="105"/>
      <c r="F975" s="105"/>
      <c r="G975" s="105"/>
      <c r="H975" s="105"/>
      <c r="I975" s="105"/>
      <c r="J975" s="105"/>
      <c r="K975" s="105"/>
      <c r="L975" s="105"/>
      <c r="N975" s="105"/>
      <c r="P975" s="105"/>
    </row>
    <row r="976" spans="2:16">
      <c r="B976" s="107"/>
      <c r="C976" s="105"/>
      <c r="D976" s="105"/>
      <c r="E976" s="105"/>
      <c r="F976" s="105"/>
      <c r="G976" s="105"/>
      <c r="H976" s="105"/>
      <c r="I976" s="105"/>
      <c r="J976" s="105"/>
      <c r="K976" s="105"/>
      <c r="L976" s="105"/>
      <c r="N976" s="105"/>
      <c r="P976" s="105"/>
    </row>
    <row r="977" spans="2:16">
      <c r="B977" s="107"/>
      <c r="C977" s="105"/>
      <c r="D977" s="105"/>
      <c r="E977" s="105"/>
      <c r="F977" s="105"/>
      <c r="G977" s="105"/>
      <c r="H977" s="105"/>
      <c r="I977" s="105"/>
      <c r="J977" s="105"/>
      <c r="K977" s="105"/>
      <c r="L977" s="105"/>
      <c r="N977" s="105"/>
      <c r="P977" s="105"/>
    </row>
    <row r="978" spans="2:16">
      <c r="B978" s="107"/>
      <c r="C978" s="105"/>
      <c r="D978" s="105"/>
      <c r="E978" s="105"/>
      <c r="F978" s="105"/>
      <c r="G978" s="105"/>
      <c r="H978" s="105"/>
      <c r="I978" s="105"/>
      <c r="J978" s="105"/>
      <c r="K978" s="105"/>
      <c r="L978" s="105"/>
      <c r="N978" s="105"/>
      <c r="P978" s="105"/>
    </row>
    <row r="979" spans="2:16">
      <c r="B979" s="107"/>
      <c r="C979" s="105"/>
      <c r="D979" s="105"/>
      <c r="E979" s="105"/>
      <c r="F979" s="105"/>
      <c r="G979" s="105"/>
      <c r="H979" s="105"/>
      <c r="I979" s="105"/>
      <c r="J979" s="105"/>
      <c r="K979" s="105"/>
      <c r="L979" s="105"/>
      <c r="N979" s="105"/>
      <c r="P979" s="105"/>
    </row>
    <row r="980" spans="2:16">
      <c r="B980" s="107"/>
      <c r="C980" s="105"/>
      <c r="D980" s="105"/>
      <c r="E980" s="105"/>
      <c r="F980" s="105"/>
      <c r="G980" s="105"/>
      <c r="H980" s="105"/>
      <c r="I980" s="105"/>
      <c r="J980" s="105"/>
      <c r="K980" s="105"/>
      <c r="L980" s="105"/>
      <c r="N980" s="105"/>
      <c r="P980" s="105"/>
    </row>
    <row r="981" spans="2:16">
      <c r="B981" s="107"/>
      <c r="C981" s="105"/>
      <c r="D981" s="105"/>
      <c r="E981" s="105"/>
      <c r="F981" s="105"/>
      <c r="G981" s="105"/>
      <c r="H981" s="105"/>
      <c r="I981" s="105"/>
      <c r="J981" s="105"/>
      <c r="K981" s="105"/>
      <c r="L981" s="105"/>
      <c r="N981" s="105"/>
      <c r="P981" s="105"/>
    </row>
    <row r="982" spans="2:16">
      <c r="B982" s="107"/>
      <c r="C982" s="105"/>
      <c r="D982" s="105"/>
      <c r="E982" s="105"/>
      <c r="F982" s="105"/>
      <c r="G982" s="105"/>
      <c r="H982" s="105"/>
      <c r="I982" s="105"/>
      <c r="J982" s="105"/>
      <c r="K982" s="105"/>
      <c r="L982" s="105"/>
      <c r="N982" s="105"/>
      <c r="P982" s="105"/>
    </row>
    <row r="983" spans="2:16">
      <c r="B983" s="107"/>
      <c r="C983" s="105"/>
      <c r="D983" s="105"/>
      <c r="E983" s="105"/>
      <c r="F983" s="105"/>
      <c r="G983" s="105"/>
      <c r="H983" s="105"/>
      <c r="I983" s="105"/>
      <c r="J983" s="105"/>
      <c r="K983" s="105"/>
      <c r="L983" s="105"/>
      <c r="N983" s="105"/>
      <c r="P983" s="105"/>
    </row>
    <row r="984" spans="2:16">
      <c r="B984" s="107"/>
      <c r="C984" s="105"/>
      <c r="D984" s="105"/>
      <c r="E984" s="105"/>
      <c r="F984" s="105"/>
      <c r="G984" s="105"/>
      <c r="H984" s="105"/>
      <c r="I984" s="105"/>
      <c r="J984" s="105"/>
      <c r="K984" s="105"/>
      <c r="L984" s="105"/>
      <c r="N984" s="105"/>
      <c r="P984" s="105"/>
    </row>
    <row r="985" spans="2:16">
      <c r="B985" s="107"/>
      <c r="C985" s="105"/>
      <c r="D985" s="105"/>
      <c r="E985" s="105"/>
      <c r="F985" s="105"/>
      <c r="G985" s="105"/>
      <c r="H985" s="105"/>
      <c r="I985" s="105"/>
      <c r="J985" s="105"/>
      <c r="K985" s="105"/>
      <c r="L985" s="105"/>
      <c r="N985" s="105"/>
      <c r="P985" s="105"/>
    </row>
    <row r="986" spans="2:16">
      <c r="B986" s="107"/>
      <c r="C986" s="105"/>
      <c r="D986" s="105"/>
      <c r="E986" s="105"/>
      <c r="F986" s="105"/>
      <c r="G986" s="105"/>
      <c r="H986" s="105"/>
      <c r="I986" s="105"/>
      <c r="J986" s="105"/>
      <c r="K986" s="105"/>
      <c r="L986" s="105"/>
      <c r="N986" s="105"/>
      <c r="P986" s="105"/>
    </row>
    <row r="987" spans="2:16">
      <c r="B987" s="107"/>
      <c r="C987" s="105"/>
      <c r="D987" s="105"/>
      <c r="E987" s="105"/>
      <c r="F987" s="105"/>
      <c r="G987" s="105"/>
      <c r="H987" s="105"/>
      <c r="I987" s="105"/>
      <c r="J987" s="105"/>
      <c r="K987" s="105"/>
      <c r="L987" s="105"/>
      <c r="N987" s="105"/>
      <c r="P987" s="105"/>
    </row>
    <row r="988" spans="2:16">
      <c r="B988" s="107"/>
      <c r="C988" s="105"/>
      <c r="D988" s="105"/>
      <c r="E988" s="105"/>
      <c r="F988" s="105"/>
      <c r="G988" s="105"/>
      <c r="H988" s="105"/>
      <c r="I988" s="105"/>
      <c r="J988" s="105"/>
      <c r="K988" s="105"/>
      <c r="L988" s="105"/>
      <c r="N988" s="105"/>
      <c r="P988" s="105"/>
    </row>
    <row r="989" spans="2:16">
      <c r="B989" s="107"/>
      <c r="C989" s="105"/>
      <c r="D989" s="105"/>
      <c r="E989" s="105"/>
      <c r="F989" s="105"/>
      <c r="G989" s="105"/>
      <c r="H989" s="105"/>
      <c r="I989" s="105"/>
      <c r="J989" s="105"/>
      <c r="K989" s="105"/>
      <c r="L989" s="105"/>
      <c r="N989" s="105"/>
      <c r="P989" s="105"/>
    </row>
    <row r="990" spans="2:16">
      <c r="B990" s="107"/>
      <c r="C990" s="105"/>
      <c r="D990" s="105"/>
      <c r="E990" s="105"/>
      <c r="F990" s="105"/>
      <c r="G990" s="105"/>
      <c r="H990" s="105"/>
      <c r="I990" s="105"/>
      <c r="J990" s="105"/>
      <c r="K990" s="105"/>
      <c r="L990" s="105"/>
      <c r="N990" s="105"/>
      <c r="P990" s="105"/>
    </row>
    <row r="991" spans="2:16">
      <c r="B991" s="107"/>
      <c r="C991" s="105"/>
      <c r="D991" s="105"/>
      <c r="E991" s="105"/>
      <c r="F991" s="105"/>
      <c r="G991" s="105"/>
      <c r="H991" s="105"/>
      <c r="I991" s="105"/>
      <c r="J991" s="105"/>
      <c r="K991" s="105"/>
      <c r="L991" s="105"/>
      <c r="N991" s="105"/>
      <c r="P991" s="105"/>
    </row>
    <row r="992" spans="2:16">
      <c r="B992" s="107"/>
      <c r="C992" s="105"/>
      <c r="D992" s="105"/>
      <c r="E992" s="105"/>
      <c r="F992" s="105"/>
      <c r="G992" s="105"/>
      <c r="H992" s="105"/>
      <c r="I992" s="105"/>
      <c r="J992" s="105"/>
      <c r="K992" s="105"/>
      <c r="L992" s="105"/>
      <c r="N992" s="105"/>
      <c r="P992" s="105"/>
    </row>
    <row r="993" spans="2:16">
      <c r="B993" s="107"/>
      <c r="C993" s="105"/>
      <c r="D993" s="105"/>
      <c r="E993" s="105"/>
      <c r="F993" s="105"/>
      <c r="G993" s="105"/>
      <c r="H993" s="105"/>
      <c r="I993" s="105"/>
      <c r="J993" s="105"/>
      <c r="K993" s="105"/>
      <c r="L993" s="105"/>
      <c r="N993" s="105"/>
      <c r="P993" s="105"/>
    </row>
    <row r="994" spans="2:16">
      <c r="B994" s="107"/>
      <c r="C994" s="105"/>
      <c r="D994" s="105"/>
      <c r="E994" s="105"/>
      <c r="F994" s="105"/>
      <c r="G994" s="105"/>
      <c r="H994" s="105"/>
      <c r="I994" s="105"/>
      <c r="J994" s="105"/>
      <c r="K994" s="105"/>
      <c r="L994" s="105"/>
      <c r="N994" s="105"/>
      <c r="P994" s="105"/>
    </row>
    <row r="995" spans="2:16">
      <c r="B995" s="107"/>
      <c r="C995" s="105"/>
      <c r="D995" s="105"/>
      <c r="E995" s="105"/>
      <c r="F995" s="105"/>
      <c r="G995" s="105"/>
      <c r="H995" s="105"/>
      <c r="I995" s="105"/>
      <c r="J995" s="105"/>
      <c r="K995" s="105"/>
      <c r="L995" s="105"/>
      <c r="N995" s="105"/>
      <c r="P995" s="105"/>
    </row>
    <row r="996" spans="2:16">
      <c r="B996" s="107"/>
      <c r="C996" s="105"/>
      <c r="D996" s="105"/>
      <c r="E996" s="105"/>
      <c r="F996" s="105"/>
      <c r="G996" s="105"/>
      <c r="H996" s="105"/>
      <c r="I996" s="105"/>
      <c r="J996" s="105"/>
      <c r="K996" s="105"/>
      <c r="L996" s="105"/>
      <c r="N996" s="105"/>
      <c r="P996" s="105"/>
    </row>
    <row r="997" spans="2:16">
      <c r="B997" s="107"/>
      <c r="C997" s="105"/>
      <c r="D997" s="105"/>
      <c r="E997" s="105"/>
      <c r="F997" s="105"/>
      <c r="G997" s="105"/>
      <c r="H997" s="105"/>
      <c r="I997" s="105"/>
      <c r="J997" s="105"/>
      <c r="K997" s="105"/>
      <c r="L997" s="105"/>
      <c r="N997" s="105"/>
      <c r="P997" s="105"/>
    </row>
    <row r="998" spans="2:16">
      <c r="B998" s="107"/>
      <c r="C998" s="105"/>
      <c r="D998" s="105"/>
      <c r="E998" s="105"/>
      <c r="F998" s="105"/>
      <c r="G998" s="105"/>
      <c r="H998" s="105"/>
      <c r="I998" s="105"/>
      <c r="J998" s="105"/>
      <c r="K998" s="105"/>
      <c r="L998" s="105"/>
      <c r="N998" s="105"/>
      <c r="P998" s="105"/>
    </row>
    <row r="999" spans="2:16">
      <c r="B999" s="107"/>
      <c r="C999" s="105"/>
      <c r="D999" s="105"/>
      <c r="E999" s="105"/>
      <c r="F999" s="105"/>
      <c r="G999" s="105"/>
      <c r="H999" s="105"/>
      <c r="I999" s="105"/>
      <c r="J999" s="105"/>
      <c r="K999" s="105"/>
      <c r="L999" s="105"/>
      <c r="N999" s="105"/>
      <c r="P999" s="105"/>
    </row>
    <row r="1000" spans="2:16">
      <c r="B1000" s="107"/>
      <c r="C1000" s="105"/>
      <c r="D1000" s="105"/>
      <c r="E1000" s="105"/>
      <c r="F1000" s="105"/>
      <c r="G1000" s="105"/>
      <c r="H1000" s="105"/>
      <c r="I1000" s="105"/>
      <c r="J1000" s="105"/>
      <c r="K1000" s="105"/>
      <c r="L1000" s="105"/>
      <c r="N1000" s="105"/>
      <c r="P1000" s="105"/>
    </row>
    <row r="1001" spans="2:16">
      <c r="B1001" s="107"/>
      <c r="C1001" s="105"/>
      <c r="D1001" s="105"/>
      <c r="E1001" s="105"/>
      <c r="F1001" s="105"/>
      <c r="G1001" s="105"/>
      <c r="H1001" s="105"/>
      <c r="I1001" s="105"/>
      <c r="J1001" s="105"/>
      <c r="K1001" s="105"/>
      <c r="L1001" s="105"/>
      <c r="N1001" s="105"/>
      <c r="P1001" s="105"/>
    </row>
    <row r="1002" spans="2:16">
      <c r="B1002" s="107"/>
      <c r="C1002" s="105"/>
      <c r="D1002" s="105"/>
      <c r="E1002" s="105"/>
      <c r="F1002" s="105"/>
      <c r="G1002" s="105"/>
      <c r="H1002" s="105"/>
      <c r="I1002" s="105"/>
      <c r="J1002" s="105"/>
      <c r="K1002" s="105"/>
      <c r="L1002" s="105"/>
      <c r="N1002" s="105"/>
      <c r="P1002" s="105"/>
    </row>
    <row r="1003" spans="2:16">
      <c r="B1003" s="107"/>
      <c r="C1003" s="105"/>
      <c r="D1003" s="105"/>
      <c r="E1003" s="105"/>
      <c r="F1003" s="105"/>
      <c r="G1003" s="105"/>
      <c r="H1003" s="105"/>
      <c r="I1003" s="105"/>
      <c r="J1003" s="105"/>
      <c r="K1003" s="105"/>
      <c r="L1003" s="105"/>
      <c r="N1003" s="105"/>
      <c r="P1003" s="105"/>
    </row>
    <row r="1004" spans="2:16">
      <c r="B1004" s="107"/>
      <c r="C1004" s="105"/>
      <c r="D1004" s="105"/>
      <c r="E1004" s="105"/>
      <c r="F1004" s="105"/>
      <c r="G1004" s="105"/>
      <c r="H1004" s="105"/>
      <c r="I1004" s="105"/>
      <c r="J1004" s="105"/>
      <c r="K1004" s="105"/>
      <c r="L1004" s="105"/>
      <c r="N1004" s="105"/>
      <c r="P1004" s="105"/>
    </row>
    <row r="1005" spans="2:16">
      <c r="B1005" s="107"/>
      <c r="C1005" s="105"/>
      <c r="D1005" s="105"/>
      <c r="E1005" s="105"/>
      <c r="F1005" s="105"/>
      <c r="G1005" s="105"/>
      <c r="H1005" s="105"/>
      <c r="I1005" s="105"/>
      <c r="J1005" s="105"/>
      <c r="K1005" s="105"/>
      <c r="L1005" s="105"/>
      <c r="N1005" s="105"/>
      <c r="P1005" s="105"/>
    </row>
    <row r="1006" spans="2:16">
      <c r="B1006" s="107"/>
      <c r="C1006" s="105"/>
      <c r="D1006" s="105"/>
      <c r="E1006" s="105"/>
      <c r="F1006" s="105"/>
      <c r="G1006" s="105"/>
      <c r="H1006" s="105"/>
      <c r="I1006" s="105"/>
      <c r="J1006" s="105"/>
      <c r="K1006" s="105"/>
      <c r="L1006" s="105"/>
      <c r="N1006" s="105"/>
      <c r="P1006" s="105"/>
    </row>
    <row r="1007" spans="2:16">
      <c r="B1007" s="107"/>
      <c r="C1007" s="105"/>
      <c r="D1007" s="105"/>
      <c r="E1007" s="105"/>
      <c r="F1007" s="105"/>
      <c r="G1007" s="105"/>
      <c r="H1007" s="105"/>
      <c r="I1007" s="105"/>
      <c r="J1007" s="105"/>
      <c r="K1007" s="105"/>
      <c r="L1007" s="105"/>
      <c r="N1007" s="105"/>
      <c r="P1007" s="105"/>
    </row>
    <row r="1008" spans="2:16">
      <c r="B1008" s="107"/>
      <c r="C1008" s="105"/>
      <c r="D1008" s="105"/>
      <c r="E1008" s="105"/>
      <c r="F1008" s="105"/>
      <c r="G1008" s="105"/>
      <c r="H1008" s="105"/>
      <c r="I1008" s="105"/>
      <c r="J1008" s="105"/>
      <c r="K1008" s="105"/>
      <c r="L1008" s="105"/>
      <c r="N1008" s="105"/>
      <c r="P1008" s="105"/>
    </row>
    <row r="1009" spans="2:16">
      <c r="B1009" s="107"/>
      <c r="C1009" s="105"/>
      <c r="D1009" s="105"/>
      <c r="E1009" s="105"/>
      <c r="F1009" s="105"/>
      <c r="G1009" s="105"/>
      <c r="H1009" s="105"/>
      <c r="I1009" s="105"/>
      <c r="J1009" s="105"/>
      <c r="K1009" s="105"/>
      <c r="L1009" s="105"/>
      <c r="N1009" s="105"/>
      <c r="P1009" s="105"/>
    </row>
    <row r="1010" spans="2:16">
      <c r="B1010" s="107"/>
      <c r="C1010" s="105"/>
      <c r="D1010" s="105"/>
      <c r="E1010" s="105"/>
      <c r="F1010" s="105"/>
      <c r="G1010" s="105"/>
      <c r="H1010" s="105"/>
      <c r="I1010" s="105"/>
      <c r="J1010" s="105"/>
      <c r="K1010" s="105"/>
      <c r="L1010" s="105"/>
      <c r="N1010" s="105"/>
      <c r="P1010" s="105"/>
    </row>
    <row r="1011" spans="2:16">
      <c r="B1011" s="107"/>
      <c r="C1011" s="105"/>
      <c r="D1011" s="105"/>
      <c r="E1011" s="105"/>
      <c r="F1011" s="105"/>
      <c r="G1011" s="105"/>
      <c r="H1011" s="105"/>
      <c r="I1011" s="105"/>
      <c r="J1011" s="105"/>
      <c r="K1011" s="105"/>
      <c r="L1011" s="105"/>
      <c r="N1011" s="105"/>
      <c r="P1011" s="105"/>
    </row>
    <row r="1012" spans="2:16">
      <c r="B1012" s="107"/>
      <c r="C1012" s="105"/>
      <c r="D1012" s="105"/>
      <c r="E1012" s="105"/>
      <c r="F1012" s="105"/>
      <c r="G1012" s="105"/>
      <c r="H1012" s="105"/>
      <c r="I1012" s="105"/>
      <c r="J1012" s="105"/>
      <c r="K1012" s="105"/>
      <c r="L1012" s="105"/>
      <c r="N1012" s="105"/>
      <c r="P1012" s="105"/>
    </row>
    <row r="1013" spans="2:16">
      <c r="B1013" s="107"/>
      <c r="C1013" s="105"/>
      <c r="D1013" s="105"/>
      <c r="E1013" s="105"/>
      <c r="F1013" s="105"/>
      <c r="G1013" s="105"/>
      <c r="H1013" s="105"/>
      <c r="I1013" s="105"/>
      <c r="J1013" s="105"/>
      <c r="K1013" s="105"/>
      <c r="L1013" s="105"/>
      <c r="N1013" s="105"/>
      <c r="P1013" s="105"/>
    </row>
    <row r="1014" spans="2:16">
      <c r="B1014" s="107"/>
      <c r="C1014" s="105"/>
      <c r="D1014" s="105"/>
      <c r="E1014" s="105"/>
      <c r="F1014" s="105"/>
      <c r="G1014" s="105"/>
      <c r="H1014" s="105"/>
      <c r="I1014" s="105"/>
      <c r="J1014" s="105"/>
      <c r="K1014" s="105"/>
      <c r="L1014" s="105"/>
      <c r="N1014" s="105"/>
      <c r="P1014" s="105"/>
    </row>
    <row r="1015" spans="2:16">
      <c r="B1015" s="107"/>
      <c r="C1015" s="105"/>
      <c r="D1015" s="105"/>
      <c r="E1015" s="105"/>
      <c r="F1015" s="105"/>
      <c r="G1015" s="105"/>
      <c r="H1015" s="105"/>
      <c r="I1015" s="105"/>
      <c r="J1015" s="105"/>
      <c r="K1015" s="105"/>
      <c r="L1015" s="105"/>
      <c r="N1015" s="105"/>
      <c r="P1015" s="105"/>
    </row>
    <row r="1016" spans="2:16">
      <c r="B1016" s="107"/>
      <c r="C1016" s="105"/>
      <c r="D1016" s="105"/>
      <c r="E1016" s="105"/>
      <c r="F1016" s="105"/>
      <c r="G1016" s="105"/>
      <c r="H1016" s="105"/>
      <c r="I1016" s="105"/>
      <c r="J1016" s="105"/>
      <c r="K1016" s="105"/>
      <c r="L1016" s="105"/>
      <c r="N1016" s="105"/>
      <c r="P1016" s="105"/>
    </row>
    <row r="1017" spans="2:16">
      <c r="B1017" s="107"/>
      <c r="C1017" s="105"/>
      <c r="D1017" s="105"/>
      <c r="E1017" s="105"/>
      <c r="F1017" s="105"/>
      <c r="G1017" s="105"/>
      <c r="H1017" s="105"/>
      <c r="I1017" s="105"/>
      <c r="J1017" s="105"/>
      <c r="K1017" s="105"/>
      <c r="L1017" s="105"/>
      <c r="N1017" s="105"/>
      <c r="P1017" s="105"/>
    </row>
    <row r="1018" spans="2:16">
      <c r="B1018" s="107"/>
      <c r="C1018" s="105"/>
      <c r="D1018" s="105"/>
      <c r="E1018" s="105"/>
      <c r="F1018" s="105"/>
      <c r="G1018" s="105"/>
      <c r="H1018" s="105"/>
      <c r="I1018" s="105"/>
      <c r="J1018" s="105"/>
      <c r="K1018" s="105"/>
      <c r="L1018" s="105"/>
      <c r="N1018" s="105"/>
      <c r="P1018" s="105"/>
    </row>
    <row r="1019" spans="2:16">
      <c r="B1019" s="107"/>
      <c r="C1019" s="105"/>
      <c r="D1019" s="105"/>
      <c r="E1019" s="105"/>
      <c r="F1019" s="105"/>
      <c r="G1019" s="105"/>
      <c r="H1019" s="105"/>
      <c r="I1019" s="105"/>
      <c r="J1019" s="105"/>
      <c r="K1019" s="105"/>
      <c r="L1019" s="105"/>
      <c r="N1019" s="105"/>
      <c r="P1019" s="105"/>
    </row>
    <row r="1020" spans="2:16">
      <c r="B1020" s="107"/>
      <c r="C1020" s="105"/>
      <c r="D1020" s="105"/>
      <c r="E1020" s="105"/>
      <c r="F1020" s="105"/>
      <c r="G1020" s="105"/>
      <c r="H1020" s="105"/>
      <c r="I1020" s="105"/>
      <c r="J1020" s="105"/>
      <c r="K1020" s="105"/>
      <c r="L1020" s="105"/>
      <c r="N1020" s="105"/>
      <c r="P1020" s="105"/>
    </row>
    <row r="1021" spans="2:16">
      <c r="B1021" s="107"/>
      <c r="C1021" s="105"/>
      <c r="D1021" s="105"/>
      <c r="E1021" s="105"/>
      <c r="F1021" s="105"/>
      <c r="G1021" s="105"/>
      <c r="H1021" s="105"/>
      <c r="I1021" s="105"/>
      <c r="J1021" s="105"/>
      <c r="K1021" s="105"/>
      <c r="L1021" s="105"/>
      <c r="N1021" s="105"/>
      <c r="P1021" s="105"/>
    </row>
    <row r="1022" spans="2:16">
      <c r="B1022" s="107"/>
      <c r="C1022" s="105"/>
      <c r="D1022" s="105"/>
      <c r="E1022" s="105"/>
      <c r="F1022" s="105"/>
      <c r="G1022" s="105"/>
      <c r="H1022" s="105"/>
      <c r="I1022" s="105"/>
      <c r="J1022" s="105"/>
      <c r="K1022" s="105"/>
      <c r="L1022" s="105"/>
      <c r="N1022" s="105"/>
      <c r="P1022" s="105"/>
    </row>
    <row r="1023" spans="2:16">
      <c r="B1023" s="107"/>
      <c r="C1023" s="105"/>
      <c r="D1023" s="105"/>
      <c r="E1023" s="105"/>
      <c r="F1023" s="105"/>
      <c r="G1023" s="105"/>
      <c r="H1023" s="105"/>
      <c r="I1023" s="105"/>
      <c r="J1023" s="105"/>
      <c r="K1023" s="105"/>
      <c r="L1023" s="105"/>
      <c r="N1023" s="105"/>
      <c r="P1023" s="105"/>
    </row>
    <row r="1024" spans="2:16">
      <c r="B1024" s="107"/>
      <c r="C1024" s="105"/>
      <c r="D1024" s="105"/>
      <c r="E1024" s="105"/>
      <c r="F1024" s="105"/>
      <c r="G1024" s="105"/>
      <c r="H1024" s="105"/>
      <c r="I1024" s="105"/>
      <c r="J1024" s="105"/>
      <c r="K1024" s="105"/>
      <c r="L1024" s="105"/>
      <c r="N1024" s="105"/>
      <c r="P1024" s="105"/>
    </row>
    <row r="1025" spans="2:16">
      <c r="B1025" s="107"/>
      <c r="C1025" s="105"/>
      <c r="D1025" s="105"/>
      <c r="E1025" s="105"/>
      <c r="F1025" s="105"/>
      <c r="G1025" s="105"/>
      <c r="H1025" s="105"/>
      <c r="I1025" s="105"/>
      <c r="J1025" s="105"/>
      <c r="K1025" s="105"/>
      <c r="L1025" s="105"/>
      <c r="N1025" s="105"/>
      <c r="P1025" s="105"/>
    </row>
    <row r="1026" spans="2:16">
      <c r="B1026" s="107"/>
      <c r="C1026" s="105"/>
      <c r="D1026" s="105"/>
      <c r="E1026" s="105"/>
      <c r="F1026" s="105"/>
      <c r="G1026" s="105"/>
      <c r="H1026" s="105"/>
      <c r="I1026" s="105"/>
      <c r="J1026" s="105"/>
      <c r="K1026" s="105"/>
      <c r="L1026" s="105"/>
      <c r="N1026" s="105"/>
      <c r="P1026" s="105"/>
    </row>
    <row r="1027" spans="2:16">
      <c r="B1027" s="107"/>
      <c r="C1027" s="105"/>
      <c r="D1027" s="105"/>
      <c r="E1027" s="105"/>
      <c r="F1027" s="105"/>
      <c r="G1027" s="105"/>
      <c r="H1027" s="105"/>
      <c r="I1027" s="105"/>
      <c r="J1027" s="105"/>
      <c r="K1027" s="105"/>
      <c r="L1027" s="105"/>
      <c r="N1027" s="105"/>
      <c r="P1027" s="105"/>
    </row>
    <row r="1028" spans="2:16">
      <c r="B1028" s="107"/>
      <c r="C1028" s="105"/>
      <c r="D1028" s="105"/>
      <c r="E1028" s="105"/>
      <c r="F1028" s="105"/>
      <c r="G1028" s="105"/>
      <c r="H1028" s="105"/>
      <c r="I1028" s="105"/>
      <c r="J1028" s="105"/>
      <c r="K1028" s="105"/>
      <c r="L1028" s="105"/>
      <c r="N1028" s="105"/>
      <c r="P1028" s="105"/>
    </row>
    <row r="1029" spans="2:16">
      <c r="B1029" s="107"/>
      <c r="C1029" s="105"/>
      <c r="D1029" s="105"/>
      <c r="E1029" s="105"/>
      <c r="F1029" s="105"/>
      <c r="G1029" s="105"/>
      <c r="H1029" s="105"/>
      <c r="I1029" s="105"/>
      <c r="J1029" s="105"/>
      <c r="K1029" s="105"/>
      <c r="L1029" s="105"/>
      <c r="N1029" s="105"/>
      <c r="P1029" s="105"/>
    </row>
    <row r="1030" spans="2:16">
      <c r="B1030" s="107"/>
      <c r="C1030" s="105"/>
      <c r="D1030" s="105"/>
      <c r="E1030" s="105"/>
      <c r="F1030" s="105"/>
      <c r="G1030" s="105"/>
      <c r="H1030" s="105"/>
      <c r="I1030" s="105"/>
      <c r="J1030" s="105"/>
      <c r="K1030" s="105"/>
      <c r="L1030" s="105"/>
      <c r="N1030" s="105"/>
      <c r="P1030" s="105"/>
    </row>
    <row r="1031" spans="2:16">
      <c r="B1031" s="107"/>
      <c r="C1031" s="105"/>
      <c r="D1031" s="105"/>
      <c r="E1031" s="105"/>
      <c r="F1031" s="105"/>
      <c r="G1031" s="105"/>
      <c r="H1031" s="105"/>
      <c r="I1031" s="105"/>
      <c r="J1031" s="105"/>
      <c r="K1031" s="105"/>
      <c r="L1031" s="105"/>
      <c r="N1031" s="105"/>
      <c r="P1031" s="105"/>
    </row>
    <row r="1032" spans="2:16">
      <c r="B1032" s="107"/>
      <c r="C1032" s="105"/>
      <c r="D1032" s="105"/>
      <c r="E1032" s="105"/>
      <c r="F1032" s="105"/>
      <c r="G1032" s="105"/>
      <c r="H1032" s="105"/>
      <c r="I1032" s="105"/>
      <c r="J1032" s="105"/>
      <c r="K1032" s="105"/>
      <c r="L1032" s="105"/>
      <c r="N1032" s="105"/>
      <c r="P1032" s="105"/>
    </row>
    <row r="1033" spans="2:16">
      <c r="B1033" s="107"/>
      <c r="C1033" s="105"/>
      <c r="D1033" s="105"/>
      <c r="E1033" s="105"/>
      <c r="F1033" s="105"/>
      <c r="G1033" s="105"/>
      <c r="H1033" s="105"/>
      <c r="I1033" s="105"/>
      <c r="J1033" s="105"/>
      <c r="K1033" s="105"/>
      <c r="L1033" s="105"/>
      <c r="N1033" s="105"/>
      <c r="P1033" s="105"/>
    </row>
    <row r="1034" spans="2:16">
      <c r="B1034" s="107"/>
      <c r="C1034" s="105"/>
      <c r="D1034" s="105"/>
      <c r="E1034" s="105"/>
      <c r="F1034" s="105"/>
      <c r="G1034" s="105"/>
      <c r="H1034" s="105"/>
      <c r="I1034" s="105"/>
      <c r="J1034" s="105"/>
      <c r="K1034" s="105"/>
      <c r="L1034" s="105"/>
      <c r="N1034" s="105"/>
      <c r="P1034" s="105"/>
    </row>
    <row r="1035" spans="2:16">
      <c r="B1035" s="107"/>
      <c r="C1035" s="105"/>
      <c r="D1035" s="105"/>
      <c r="E1035" s="105"/>
      <c r="F1035" s="105"/>
      <c r="G1035" s="105"/>
      <c r="H1035" s="105"/>
      <c r="I1035" s="105"/>
      <c r="J1035" s="105"/>
      <c r="K1035" s="105"/>
      <c r="L1035" s="105"/>
      <c r="N1035" s="105"/>
      <c r="P1035" s="105"/>
    </row>
    <row r="1036" spans="2:16">
      <c r="B1036" s="107"/>
      <c r="C1036" s="105"/>
      <c r="D1036" s="105"/>
      <c r="E1036" s="105"/>
      <c r="F1036" s="105"/>
      <c r="G1036" s="105"/>
      <c r="H1036" s="105"/>
      <c r="I1036" s="105"/>
      <c r="J1036" s="105"/>
      <c r="K1036" s="105"/>
      <c r="L1036" s="105"/>
      <c r="N1036" s="105"/>
      <c r="P1036" s="105"/>
    </row>
    <row r="1037" spans="2:16">
      <c r="B1037" s="107"/>
      <c r="C1037" s="105"/>
      <c r="D1037" s="105"/>
      <c r="E1037" s="105"/>
      <c r="F1037" s="105"/>
      <c r="G1037" s="105"/>
      <c r="H1037" s="105"/>
      <c r="I1037" s="105"/>
      <c r="J1037" s="105"/>
      <c r="K1037" s="105"/>
      <c r="L1037" s="105"/>
      <c r="N1037" s="105"/>
      <c r="P1037" s="105"/>
    </row>
    <row r="1038" spans="2:16">
      <c r="B1038" s="107"/>
      <c r="C1038" s="105"/>
      <c r="D1038" s="105"/>
      <c r="E1038" s="105"/>
      <c r="F1038" s="105"/>
      <c r="G1038" s="105"/>
      <c r="H1038" s="105"/>
      <c r="I1038" s="105"/>
      <c r="J1038" s="105"/>
      <c r="K1038" s="105"/>
      <c r="L1038" s="105"/>
      <c r="N1038" s="105"/>
      <c r="P1038" s="105"/>
    </row>
    <row r="1039" spans="2:16">
      <c r="B1039" s="107"/>
      <c r="C1039" s="105"/>
      <c r="D1039" s="105"/>
      <c r="E1039" s="105"/>
      <c r="F1039" s="105"/>
      <c r="G1039" s="105"/>
      <c r="H1039" s="105"/>
      <c r="I1039" s="105"/>
      <c r="J1039" s="105"/>
      <c r="K1039" s="105"/>
      <c r="L1039" s="105"/>
      <c r="N1039" s="105"/>
      <c r="P1039" s="105"/>
    </row>
    <row r="1040" spans="2:16">
      <c r="B1040" s="107"/>
      <c r="C1040" s="105"/>
      <c r="D1040" s="105"/>
      <c r="E1040" s="105"/>
      <c r="F1040" s="105"/>
      <c r="G1040" s="105"/>
      <c r="H1040" s="105"/>
      <c r="I1040" s="105"/>
      <c r="J1040" s="105"/>
      <c r="K1040" s="105"/>
      <c r="L1040" s="105"/>
      <c r="N1040" s="105"/>
      <c r="P1040" s="105"/>
    </row>
    <row r="1041" spans="2:16">
      <c r="B1041" s="107"/>
      <c r="C1041" s="105"/>
      <c r="D1041" s="105"/>
      <c r="E1041" s="105"/>
      <c r="F1041" s="105"/>
      <c r="G1041" s="105"/>
      <c r="H1041" s="105"/>
      <c r="I1041" s="105"/>
      <c r="J1041" s="105"/>
      <c r="K1041" s="105"/>
      <c r="L1041" s="105"/>
      <c r="N1041" s="105"/>
      <c r="P1041" s="105"/>
    </row>
    <row r="1042" spans="2:16">
      <c r="B1042" s="107"/>
      <c r="C1042" s="105"/>
      <c r="D1042" s="105"/>
      <c r="E1042" s="105"/>
      <c r="F1042" s="105"/>
      <c r="G1042" s="105"/>
      <c r="H1042" s="105"/>
      <c r="I1042" s="105"/>
      <c r="J1042" s="105"/>
      <c r="K1042" s="105"/>
      <c r="L1042" s="105"/>
      <c r="N1042" s="105"/>
      <c r="P1042" s="105"/>
    </row>
    <row r="1043" spans="2:16">
      <c r="B1043" s="107"/>
      <c r="C1043" s="105"/>
      <c r="D1043" s="105"/>
      <c r="E1043" s="105"/>
      <c r="F1043" s="105"/>
      <c r="G1043" s="105"/>
      <c r="H1043" s="105"/>
      <c r="I1043" s="105"/>
      <c r="J1043" s="105"/>
      <c r="K1043" s="105"/>
      <c r="L1043" s="105"/>
      <c r="N1043" s="105"/>
      <c r="P1043" s="105"/>
    </row>
    <row r="1044" spans="2:16">
      <c r="B1044" s="107"/>
      <c r="C1044" s="105"/>
      <c r="D1044" s="105"/>
      <c r="E1044" s="105"/>
      <c r="F1044" s="105"/>
      <c r="G1044" s="105"/>
      <c r="H1044" s="105"/>
      <c r="I1044" s="105"/>
      <c r="J1044" s="105"/>
      <c r="K1044" s="105"/>
      <c r="L1044" s="105"/>
      <c r="N1044" s="105"/>
      <c r="P1044" s="105"/>
    </row>
    <row r="1045" spans="2:16">
      <c r="B1045" s="107"/>
      <c r="C1045" s="105"/>
      <c r="D1045" s="105"/>
      <c r="E1045" s="105"/>
      <c r="F1045" s="105"/>
      <c r="G1045" s="105"/>
      <c r="H1045" s="105"/>
      <c r="I1045" s="105"/>
      <c r="J1045" s="105"/>
      <c r="K1045" s="105"/>
      <c r="L1045" s="105"/>
      <c r="N1045" s="105"/>
      <c r="P1045" s="105"/>
    </row>
    <row r="1046" spans="2:16">
      <c r="B1046" s="107"/>
      <c r="C1046" s="105"/>
      <c r="D1046" s="105"/>
      <c r="E1046" s="105"/>
      <c r="F1046" s="105"/>
      <c r="G1046" s="105"/>
      <c r="H1046" s="105"/>
      <c r="I1046" s="105"/>
      <c r="J1046" s="105"/>
      <c r="K1046" s="105"/>
      <c r="L1046" s="105"/>
      <c r="N1046" s="105"/>
      <c r="P1046" s="105"/>
    </row>
    <row r="1047" spans="2:16">
      <c r="B1047" s="107"/>
      <c r="C1047" s="105"/>
      <c r="D1047" s="105"/>
      <c r="E1047" s="105"/>
      <c r="F1047" s="105"/>
      <c r="G1047" s="105"/>
      <c r="H1047" s="105"/>
      <c r="I1047" s="105"/>
      <c r="J1047" s="105"/>
      <c r="K1047" s="105"/>
      <c r="L1047" s="105"/>
      <c r="N1047" s="105"/>
      <c r="P1047" s="105"/>
    </row>
    <row r="1048" spans="2:16">
      <c r="B1048" s="107"/>
      <c r="C1048" s="105"/>
      <c r="D1048" s="105"/>
      <c r="E1048" s="105"/>
      <c r="F1048" s="105"/>
      <c r="G1048" s="105"/>
      <c r="H1048" s="105"/>
      <c r="I1048" s="105"/>
      <c r="J1048" s="105"/>
      <c r="K1048" s="105"/>
      <c r="L1048" s="105"/>
      <c r="N1048" s="105"/>
      <c r="P1048" s="105"/>
    </row>
    <row r="1049" spans="2:16">
      <c r="B1049" s="107"/>
      <c r="C1049" s="105"/>
      <c r="D1049" s="105"/>
      <c r="E1049" s="105"/>
      <c r="F1049" s="105"/>
      <c r="G1049" s="105"/>
      <c r="H1049" s="105"/>
      <c r="I1049" s="105"/>
      <c r="J1049" s="105"/>
      <c r="K1049" s="105"/>
      <c r="L1049" s="105"/>
      <c r="N1049" s="105"/>
      <c r="P1049" s="105"/>
    </row>
    <row r="1050" spans="2:16">
      <c r="B1050" s="107"/>
      <c r="C1050" s="105"/>
      <c r="D1050" s="105"/>
      <c r="E1050" s="105"/>
      <c r="F1050" s="105"/>
      <c r="G1050" s="105"/>
      <c r="H1050" s="105"/>
      <c r="I1050" s="105"/>
      <c r="J1050" s="105"/>
      <c r="K1050" s="105"/>
      <c r="L1050" s="105"/>
      <c r="N1050" s="105"/>
      <c r="P1050" s="105"/>
    </row>
    <row r="1051" spans="2:16">
      <c r="B1051" s="107"/>
      <c r="C1051" s="105"/>
      <c r="D1051" s="105"/>
      <c r="E1051" s="105"/>
      <c r="F1051" s="105"/>
      <c r="G1051" s="105"/>
      <c r="H1051" s="105"/>
      <c r="I1051" s="105"/>
      <c r="J1051" s="105"/>
      <c r="K1051" s="105"/>
      <c r="L1051" s="105"/>
      <c r="N1051" s="105"/>
      <c r="P1051" s="105"/>
    </row>
    <row r="1052" spans="2:16">
      <c r="B1052" s="107"/>
      <c r="C1052" s="105"/>
      <c r="D1052" s="105"/>
      <c r="E1052" s="105"/>
      <c r="F1052" s="105"/>
      <c r="G1052" s="105"/>
      <c r="H1052" s="105"/>
      <c r="I1052" s="105"/>
      <c r="J1052" s="105"/>
      <c r="K1052" s="105"/>
      <c r="L1052" s="105"/>
      <c r="N1052" s="105"/>
      <c r="P1052" s="105"/>
    </row>
    <row r="1053" spans="2:16">
      <c r="B1053" s="107"/>
      <c r="C1053" s="105"/>
      <c r="D1053" s="105"/>
      <c r="E1053" s="105"/>
      <c r="F1053" s="105"/>
      <c r="G1053" s="105"/>
      <c r="H1053" s="105"/>
      <c r="I1053" s="105"/>
      <c r="J1053" s="105"/>
      <c r="K1053" s="105"/>
      <c r="L1053" s="105"/>
      <c r="N1053" s="105"/>
      <c r="P1053" s="105"/>
    </row>
    <row r="1054" spans="2:16">
      <c r="B1054" s="107"/>
      <c r="C1054" s="105"/>
      <c r="D1054" s="105"/>
      <c r="E1054" s="105"/>
      <c r="F1054" s="105"/>
      <c r="G1054" s="105"/>
      <c r="H1054" s="105"/>
      <c r="I1054" s="105"/>
      <c r="J1054" s="105"/>
      <c r="K1054" s="105"/>
      <c r="L1054" s="105"/>
      <c r="N1054" s="105"/>
      <c r="P1054" s="105"/>
    </row>
    <row r="1055" spans="2:16">
      <c r="B1055" s="107"/>
      <c r="C1055" s="105"/>
      <c r="D1055" s="105"/>
      <c r="E1055" s="105"/>
      <c r="F1055" s="105"/>
      <c r="G1055" s="105"/>
      <c r="H1055" s="105"/>
      <c r="I1055" s="105"/>
      <c r="J1055" s="105"/>
      <c r="K1055" s="105"/>
      <c r="L1055" s="105"/>
      <c r="N1055" s="105"/>
      <c r="P1055" s="105"/>
    </row>
    <row r="1056" spans="2:16">
      <c r="B1056" s="107"/>
      <c r="C1056" s="105"/>
      <c r="D1056" s="105"/>
      <c r="E1056" s="105"/>
      <c r="F1056" s="105"/>
      <c r="G1056" s="105"/>
      <c r="H1056" s="105"/>
      <c r="I1056" s="105"/>
      <c r="J1056" s="105"/>
      <c r="K1056" s="105"/>
      <c r="L1056" s="105"/>
      <c r="N1056" s="105"/>
      <c r="P1056" s="105"/>
    </row>
    <row r="1057" spans="2:16">
      <c r="B1057" s="107"/>
      <c r="C1057" s="105"/>
      <c r="D1057" s="105"/>
      <c r="E1057" s="105"/>
      <c r="F1057" s="105"/>
      <c r="G1057" s="105"/>
      <c r="H1057" s="105"/>
      <c r="I1057" s="105"/>
      <c r="J1057" s="105"/>
      <c r="K1057" s="105"/>
      <c r="L1057" s="105"/>
      <c r="N1057" s="105"/>
      <c r="P1057" s="105"/>
    </row>
    <row r="1058" spans="2:16">
      <c r="B1058" s="107"/>
      <c r="C1058" s="105"/>
      <c r="D1058" s="105"/>
      <c r="E1058" s="105"/>
      <c r="F1058" s="105"/>
      <c r="G1058" s="105"/>
      <c r="H1058" s="105"/>
      <c r="I1058" s="105"/>
      <c r="J1058" s="105"/>
      <c r="K1058" s="105"/>
      <c r="L1058" s="105"/>
      <c r="N1058" s="105"/>
      <c r="P1058" s="105"/>
    </row>
    <row r="1059" spans="2:16">
      <c r="B1059" s="107"/>
      <c r="C1059" s="105"/>
      <c r="D1059" s="105"/>
      <c r="E1059" s="105"/>
      <c r="F1059" s="105"/>
      <c r="G1059" s="105"/>
      <c r="H1059" s="105"/>
      <c r="I1059" s="105"/>
      <c r="J1059" s="105"/>
      <c r="K1059" s="105"/>
      <c r="L1059" s="105"/>
      <c r="N1059" s="105"/>
      <c r="P1059" s="105"/>
    </row>
    <row r="1060" spans="2:16">
      <c r="B1060" s="107"/>
      <c r="C1060" s="105"/>
      <c r="D1060" s="105"/>
      <c r="E1060" s="105"/>
      <c r="F1060" s="105"/>
      <c r="G1060" s="105"/>
      <c r="H1060" s="105"/>
      <c r="I1060" s="105"/>
      <c r="J1060" s="105"/>
      <c r="K1060" s="105"/>
      <c r="L1060" s="105"/>
      <c r="N1060" s="105"/>
      <c r="P1060" s="105"/>
    </row>
    <row r="1061" spans="2:16">
      <c r="B1061" s="107"/>
      <c r="C1061" s="105"/>
      <c r="D1061" s="105"/>
      <c r="E1061" s="105"/>
      <c r="F1061" s="105"/>
      <c r="G1061" s="105"/>
      <c r="H1061" s="105"/>
      <c r="I1061" s="105"/>
      <c r="J1061" s="105"/>
      <c r="K1061" s="105"/>
      <c r="L1061" s="105"/>
      <c r="N1061" s="105"/>
      <c r="P1061" s="105"/>
    </row>
    <row r="1062" spans="2:16">
      <c r="B1062" s="107"/>
      <c r="C1062" s="105"/>
      <c r="D1062" s="105"/>
      <c r="E1062" s="105"/>
      <c r="F1062" s="105"/>
      <c r="G1062" s="105"/>
      <c r="H1062" s="105"/>
      <c r="I1062" s="105"/>
      <c r="J1062" s="105"/>
      <c r="K1062" s="105"/>
      <c r="L1062" s="105"/>
      <c r="N1062" s="105"/>
      <c r="P1062" s="105"/>
    </row>
    <row r="1063" spans="2:16">
      <c r="B1063" s="107"/>
      <c r="C1063" s="105"/>
      <c r="D1063" s="105"/>
      <c r="E1063" s="105"/>
      <c r="F1063" s="105"/>
      <c r="G1063" s="105"/>
      <c r="H1063" s="105"/>
      <c r="I1063" s="105"/>
      <c r="J1063" s="105"/>
      <c r="K1063" s="105"/>
      <c r="L1063" s="105"/>
      <c r="N1063" s="105"/>
      <c r="P1063" s="105"/>
    </row>
    <row r="1064" spans="2:16">
      <c r="B1064" s="107"/>
      <c r="C1064" s="105"/>
      <c r="D1064" s="105"/>
      <c r="E1064" s="105"/>
      <c r="F1064" s="105"/>
      <c r="G1064" s="105"/>
      <c r="H1064" s="105"/>
      <c r="I1064" s="105"/>
      <c r="J1064" s="105"/>
      <c r="K1064" s="105"/>
      <c r="L1064" s="105"/>
      <c r="N1064" s="105"/>
      <c r="P1064" s="105"/>
    </row>
    <row r="1065" spans="2:16">
      <c r="B1065" s="107"/>
      <c r="C1065" s="105"/>
      <c r="D1065" s="105"/>
      <c r="E1065" s="105"/>
      <c r="F1065" s="105"/>
      <c r="G1065" s="105"/>
      <c r="H1065" s="105"/>
      <c r="I1065" s="105"/>
      <c r="J1065" s="105"/>
      <c r="K1065" s="105"/>
      <c r="L1065" s="105"/>
      <c r="N1065" s="105"/>
      <c r="P1065" s="105"/>
    </row>
    <row r="1066" spans="2:16">
      <c r="B1066" s="107"/>
      <c r="C1066" s="105"/>
      <c r="D1066" s="105"/>
      <c r="E1066" s="105"/>
      <c r="F1066" s="105"/>
      <c r="G1066" s="105"/>
      <c r="H1066" s="105"/>
      <c r="I1066" s="105"/>
      <c r="J1066" s="105"/>
      <c r="K1066" s="105"/>
      <c r="L1066" s="105"/>
      <c r="N1066" s="105"/>
      <c r="P1066" s="105"/>
    </row>
    <row r="1067" spans="2:16">
      <c r="B1067" s="107"/>
      <c r="C1067" s="105"/>
      <c r="D1067" s="105"/>
      <c r="E1067" s="105"/>
      <c r="F1067" s="105"/>
      <c r="G1067" s="105"/>
      <c r="H1067" s="105"/>
      <c r="I1067" s="105"/>
      <c r="J1067" s="105"/>
      <c r="K1067" s="105"/>
      <c r="L1067" s="105"/>
      <c r="N1067" s="105"/>
      <c r="P1067" s="105"/>
    </row>
    <row r="1068" spans="2:16">
      <c r="B1068" s="107"/>
      <c r="C1068" s="105"/>
      <c r="D1068" s="105"/>
      <c r="E1068" s="105"/>
      <c r="F1068" s="105"/>
      <c r="G1068" s="105"/>
      <c r="H1068" s="105"/>
      <c r="I1068" s="105"/>
      <c r="J1068" s="105"/>
      <c r="K1068" s="105"/>
      <c r="L1068" s="105"/>
      <c r="N1068" s="105"/>
      <c r="P1068" s="105"/>
    </row>
    <row r="1069" spans="2:16">
      <c r="B1069" s="107"/>
      <c r="C1069" s="105"/>
      <c r="D1069" s="105"/>
      <c r="E1069" s="105"/>
      <c r="F1069" s="105"/>
      <c r="G1069" s="105"/>
      <c r="H1069" s="105"/>
      <c r="I1069" s="105"/>
      <c r="J1069" s="105"/>
      <c r="K1069" s="105"/>
      <c r="L1069" s="105"/>
      <c r="N1069" s="105"/>
      <c r="P1069" s="105"/>
    </row>
    <row r="1070" spans="2:16">
      <c r="B1070" s="107"/>
      <c r="C1070" s="105"/>
      <c r="D1070" s="105"/>
      <c r="E1070" s="105"/>
      <c r="F1070" s="105"/>
      <c r="G1070" s="105"/>
      <c r="H1070" s="105"/>
      <c r="I1070" s="105"/>
      <c r="J1070" s="105"/>
      <c r="K1070" s="105"/>
      <c r="L1070" s="105"/>
      <c r="N1070" s="105"/>
      <c r="P1070" s="105"/>
    </row>
    <row r="1071" spans="2:16">
      <c r="B1071" s="107"/>
      <c r="C1071" s="105"/>
      <c r="D1071" s="105"/>
      <c r="E1071" s="105"/>
      <c r="F1071" s="105"/>
      <c r="G1071" s="105"/>
      <c r="H1071" s="105"/>
      <c r="I1071" s="105"/>
      <c r="J1071" s="105"/>
      <c r="K1071" s="105"/>
      <c r="L1071" s="105"/>
      <c r="N1071" s="105"/>
      <c r="P1071" s="105"/>
    </row>
    <row r="1072" spans="2:16">
      <c r="B1072" s="107"/>
      <c r="C1072" s="105"/>
      <c r="D1072" s="105"/>
      <c r="E1072" s="105"/>
      <c r="F1072" s="105"/>
      <c r="G1072" s="105"/>
      <c r="H1072" s="105"/>
      <c r="I1072" s="105"/>
      <c r="J1072" s="105"/>
      <c r="K1072" s="105"/>
      <c r="L1072" s="105"/>
      <c r="N1072" s="105"/>
      <c r="P1072" s="105"/>
    </row>
    <row r="1073" spans="2:16">
      <c r="B1073" s="107"/>
      <c r="C1073" s="105"/>
      <c r="D1073" s="105"/>
      <c r="E1073" s="105"/>
      <c r="F1073" s="105"/>
      <c r="G1073" s="105"/>
      <c r="H1073" s="105"/>
      <c r="I1073" s="105"/>
      <c r="J1073" s="105"/>
      <c r="K1073" s="105"/>
      <c r="L1073" s="105"/>
      <c r="N1073" s="105"/>
      <c r="P1073" s="105"/>
    </row>
    <row r="1074" spans="2:16">
      <c r="B1074" s="107"/>
      <c r="C1074" s="105"/>
      <c r="D1074" s="105"/>
      <c r="E1074" s="105"/>
      <c r="F1074" s="105"/>
      <c r="G1074" s="105"/>
      <c r="H1074" s="105"/>
      <c r="I1074" s="105"/>
      <c r="J1074" s="105"/>
      <c r="K1074" s="105"/>
      <c r="L1074" s="105"/>
      <c r="N1074" s="105"/>
      <c r="P1074" s="105"/>
    </row>
    <row r="1075" spans="2:16">
      <c r="B1075" s="107"/>
      <c r="C1075" s="105"/>
      <c r="D1075" s="105"/>
      <c r="E1075" s="105"/>
      <c r="F1075" s="105"/>
      <c r="G1075" s="105"/>
      <c r="H1075" s="105"/>
      <c r="I1075" s="105"/>
      <c r="J1075" s="105"/>
      <c r="K1075" s="105"/>
      <c r="L1075" s="105"/>
      <c r="N1075" s="105"/>
      <c r="P1075" s="105"/>
    </row>
    <row r="1076" spans="2:16">
      <c r="B1076" s="107"/>
      <c r="C1076" s="105"/>
      <c r="D1076" s="105"/>
      <c r="E1076" s="105"/>
      <c r="F1076" s="105"/>
      <c r="G1076" s="105"/>
      <c r="H1076" s="105"/>
      <c r="I1076" s="105"/>
      <c r="J1076" s="105"/>
      <c r="K1076" s="105"/>
      <c r="L1076" s="105"/>
      <c r="N1076" s="105"/>
      <c r="P1076" s="105"/>
    </row>
    <row r="1077" spans="2:16">
      <c r="B1077" s="107"/>
      <c r="C1077" s="105"/>
      <c r="D1077" s="105"/>
      <c r="E1077" s="105"/>
      <c r="F1077" s="105"/>
      <c r="G1077" s="105"/>
      <c r="H1077" s="105"/>
      <c r="I1077" s="105"/>
      <c r="J1077" s="105"/>
      <c r="K1077" s="105"/>
      <c r="L1077" s="105"/>
      <c r="N1077" s="105"/>
      <c r="P1077" s="105"/>
    </row>
    <row r="1078" spans="2:16">
      <c r="B1078" s="107"/>
      <c r="C1078" s="105"/>
      <c r="D1078" s="105"/>
      <c r="E1078" s="105"/>
      <c r="F1078" s="105"/>
      <c r="G1078" s="105"/>
      <c r="H1078" s="105"/>
      <c r="I1078" s="105"/>
      <c r="J1078" s="105"/>
      <c r="K1078" s="105"/>
      <c r="L1078" s="105"/>
      <c r="N1078" s="105"/>
      <c r="P1078" s="105"/>
    </row>
    <row r="1079" spans="2:16">
      <c r="B1079" s="107"/>
      <c r="C1079" s="105"/>
      <c r="D1079" s="105"/>
      <c r="E1079" s="105"/>
      <c r="F1079" s="105"/>
      <c r="G1079" s="105"/>
      <c r="H1079" s="105"/>
      <c r="I1079" s="105"/>
      <c r="J1079" s="105"/>
      <c r="K1079" s="105"/>
      <c r="L1079" s="105"/>
      <c r="N1079" s="105"/>
      <c r="P1079" s="105"/>
    </row>
    <row r="1080" spans="2:16">
      <c r="B1080" s="107"/>
      <c r="C1080" s="105"/>
      <c r="D1080" s="105"/>
      <c r="E1080" s="105"/>
      <c r="F1080" s="105"/>
      <c r="G1080" s="105"/>
      <c r="H1080" s="105"/>
      <c r="I1080" s="105"/>
      <c r="J1080" s="105"/>
      <c r="K1080" s="105"/>
      <c r="L1080" s="105"/>
      <c r="N1080" s="105"/>
      <c r="P1080" s="105"/>
    </row>
    <row r="1081" spans="2:16">
      <c r="B1081" s="107"/>
      <c r="C1081" s="105"/>
      <c r="D1081" s="105"/>
      <c r="E1081" s="105"/>
      <c r="F1081" s="105"/>
      <c r="G1081" s="105"/>
      <c r="H1081" s="105"/>
      <c r="I1081" s="105"/>
      <c r="J1081" s="105"/>
      <c r="K1081" s="105"/>
      <c r="L1081" s="105"/>
      <c r="N1081" s="105"/>
      <c r="P1081" s="105"/>
    </row>
    <row r="1082" spans="2:16">
      <c r="B1082" s="107"/>
      <c r="C1082" s="105"/>
      <c r="D1082" s="105"/>
      <c r="E1082" s="105"/>
      <c r="F1082" s="105"/>
      <c r="G1082" s="105"/>
      <c r="H1082" s="105"/>
      <c r="I1082" s="105"/>
      <c r="J1082" s="105"/>
      <c r="K1082" s="105"/>
      <c r="L1082" s="105"/>
      <c r="N1082" s="105"/>
      <c r="P1082" s="105"/>
    </row>
    <row r="1083" spans="2:16">
      <c r="B1083" s="107"/>
      <c r="C1083" s="105"/>
      <c r="D1083" s="105"/>
      <c r="E1083" s="105"/>
      <c r="F1083" s="105"/>
      <c r="G1083" s="105"/>
      <c r="H1083" s="105"/>
      <c r="I1083" s="105"/>
      <c r="J1083" s="105"/>
      <c r="K1083" s="105"/>
      <c r="L1083" s="105"/>
      <c r="N1083" s="105"/>
      <c r="P1083" s="105"/>
    </row>
    <row r="1084" spans="2:16">
      <c r="B1084" s="107"/>
      <c r="C1084" s="105"/>
      <c r="D1084" s="105"/>
      <c r="E1084" s="105"/>
      <c r="F1084" s="105"/>
      <c r="G1084" s="105"/>
      <c r="H1084" s="105"/>
      <c r="I1084" s="105"/>
      <c r="J1084" s="105"/>
      <c r="K1084" s="105"/>
      <c r="L1084" s="105"/>
      <c r="N1084" s="105"/>
      <c r="P1084" s="105"/>
    </row>
    <row r="1085" spans="2:16">
      <c r="B1085" s="107"/>
      <c r="C1085" s="105"/>
      <c r="D1085" s="105"/>
      <c r="E1085" s="105"/>
      <c r="F1085" s="105"/>
      <c r="G1085" s="105"/>
      <c r="H1085" s="105"/>
      <c r="I1085" s="105"/>
      <c r="J1085" s="105"/>
      <c r="K1085" s="105"/>
      <c r="L1085" s="105"/>
      <c r="N1085" s="105"/>
      <c r="P1085" s="105"/>
    </row>
    <row r="1086" spans="2:16">
      <c r="B1086" s="107"/>
      <c r="C1086" s="105"/>
      <c r="D1086" s="105"/>
      <c r="E1086" s="105"/>
      <c r="F1086" s="105"/>
      <c r="G1086" s="105"/>
      <c r="H1086" s="105"/>
      <c r="I1086" s="105"/>
      <c r="J1086" s="105"/>
      <c r="K1086" s="105"/>
      <c r="L1086" s="105"/>
      <c r="N1086" s="105"/>
      <c r="P1086" s="105"/>
    </row>
    <row r="1087" spans="2:16">
      <c r="B1087" s="107"/>
      <c r="C1087" s="105"/>
      <c r="D1087" s="105"/>
      <c r="E1087" s="105"/>
      <c r="F1087" s="105"/>
      <c r="G1087" s="105"/>
      <c r="H1087" s="105"/>
      <c r="I1087" s="105"/>
      <c r="J1087" s="105"/>
      <c r="K1087" s="105"/>
      <c r="L1087" s="105"/>
      <c r="N1087" s="105"/>
      <c r="P1087" s="105"/>
    </row>
    <row r="1088" spans="2:16">
      <c r="B1088" s="107"/>
      <c r="C1088" s="105"/>
      <c r="D1088" s="105"/>
      <c r="E1088" s="105"/>
      <c r="F1088" s="105"/>
      <c r="G1088" s="105"/>
      <c r="H1088" s="105"/>
      <c r="I1088" s="105"/>
      <c r="J1088" s="105"/>
      <c r="K1088" s="105"/>
      <c r="L1088" s="105"/>
      <c r="N1088" s="105"/>
      <c r="P1088" s="105"/>
    </row>
    <row r="1089" spans="2:16">
      <c r="B1089" s="107"/>
      <c r="C1089" s="105"/>
      <c r="D1089" s="105"/>
      <c r="E1089" s="105"/>
      <c r="F1089" s="105"/>
      <c r="G1089" s="105"/>
      <c r="H1089" s="105"/>
      <c r="I1089" s="105"/>
      <c r="J1089" s="105"/>
      <c r="K1089" s="105"/>
      <c r="L1089" s="105"/>
      <c r="N1089" s="105"/>
      <c r="P1089" s="105"/>
    </row>
    <row r="1090" spans="2:16">
      <c r="B1090" s="107"/>
      <c r="C1090" s="105"/>
      <c r="D1090" s="105"/>
      <c r="E1090" s="105"/>
      <c r="F1090" s="105"/>
      <c r="G1090" s="105"/>
      <c r="H1090" s="105"/>
      <c r="I1090" s="105"/>
      <c r="J1090" s="105"/>
      <c r="K1090" s="105"/>
      <c r="L1090" s="105"/>
      <c r="N1090" s="105"/>
      <c r="P1090" s="105"/>
    </row>
    <row r="1091" spans="2:16">
      <c r="B1091" s="107"/>
      <c r="C1091" s="105"/>
      <c r="D1091" s="105"/>
      <c r="E1091" s="105"/>
      <c r="F1091" s="105"/>
      <c r="G1091" s="105"/>
      <c r="H1091" s="105"/>
      <c r="I1091" s="105"/>
      <c r="J1091" s="105"/>
      <c r="K1091" s="105"/>
      <c r="L1091" s="105"/>
      <c r="N1091" s="105"/>
      <c r="P1091" s="105"/>
    </row>
    <row r="1092" spans="2:16">
      <c r="B1092" s="107"/>
      <c r="C1092" s="105"/>
      <c r="D1092" s="105"/>
      <c r="E1092" s="105"/>
      <c r="F1092" s="105"/>
      <c r="G1092" s="105"/>
      <c r="H1092" s="105"/>
      <c r="I1092" s="105"/>
      <c r="J1092" s="105"/>
      <c r="K1092" s="105"/>
      <c r="L1092" s="105"/>
      <c r="N1092" s="105"/>
      <c r="P1092" s="105"/>
    </row>
    <row r="1093" spans="2:16">
      <c r="B1093" s="107"/>
      <c r="C1093" s="105"/>
      <c r="D1093" s="105"/>
      <c r="E1093" s="105"/>
      <c r="F1093" s="105"/>
      <c r="G1093" s="105"/>
      <c r="H1093" s="105"/>
      <c r="I1093" s="105"/>
      <c r="J1093" s="105"/>
      <c r="K1093" s="105"/>
      <c r="L1093" s="105"/>
      <c r="N1093" s="105"/>
      <c r="P1093" s="105"/>
    </row>
    <row r="1094" spans="2:16">
      <c r="B1094" s="107"/>
      <c r="C1094" s="105"/>
      <c r="D1094" s="105"/>
      <c r="E1094" s="105"/>
      <c r="F1094" s="105"/>
      <c r="G1094" s="105"/>
      <c r="H1094" s="105"/>
      <c r="I1094" s="105"/>
      <c r="J1094" s="105"/>
      <c r="K1094" s="105"/>
      <c r="L1094" s="105"/>
      <c r="N1094" s="105"/>
      <c r="P1094" s="105"/>
    </row>
    <row r="1095" spans="2:16">
      <c r="B1095" s="107"/>
      <c r="C1095" s="105"/>
      <c r="D1095" s="105"/>
      <c r="E1095" s="105"/>
      <c r="F1095" s="105"/>
      <c r="G1095" s="105"/>
      <c r="H1095" s="105"/>
      <c r="I1095" s="105"/>
      <c r="J1095" s="105"/>
      <c r="K1095" s="105"/>
      <c r="L1095" s="105"/>
      <c r="N1095" s="105"/>
      <c r="P1095" s="105"/>
    </row>
    <row r="1096" spans="2:16">
      <c r="B1096" s="107"/>
      <c r="C1096" s="105"/>
      <c r="D1096" s="105"/>
      <c r="E1096" s="105"/>
      <c r="F1096" s="105"/>
      <c r="G1096" s="105"/>
      <c r="H1096" s="105"/>
      <c r="I1096" s="105"/>
      <c r="J1096" s="105"/>
      <c r="K1096" s="105"/>
      <c r="L1096" s="105"/>
      <c r="N1096" s="105"/>
      <c r="P1096" s="105"/>
    </row>
    <row r="1097" spans="2:16">
      <c r="B1097" s="107"/>
      <c r="C1097" s="105"/>
      <c r="D1097" s="105"/>
      <c r="E1097" s="105"/>
      <c r="F1097" s="105"/>
      <c r="G1097" s="105"/>
      <c r="H1097" s="105"/>
      <c r="I1097" s="105"/>
      <c r="J1097" s="105"/>
      <c r="K1097" s="105"/>
      <c r="L1097" s="105"/>
      <c r="N1097" s="105"/>
      <c r="P1097" s="105"/>
    </row>
    <row r="1098" spans="2:16">
      <c r="B1098" s="107"/>
      <c r="C1098" s="105"/>
      <c r="D1098" s="105"/>
      <c r="E1098" s="105"/>
      <c r="F1098" s="105"/>
      <c r="G1098" s="105"/>
      <c r="H1098" s="105"/>
      <c r="I1098" s="105"/>
      <c r="J1098" s="105"/>
      <c r="K1098" s="105"/>
      <c r="L1098" s="105"/>
      <c r="N1098" s="105"/>
      <c r="P1098" s="105"/>
    </row>
    <row r="1099" spans="2:16">
      <c r="B1099" s="107"/>
      <c r="C1099" s="105"/>
      <c r="D1099" s="105"/>
      <c r="E1099" s="105"/>
      <c r="F1099" s="105"/>
      <c r="G1099" s="105"/>
      <c r="H1099" s="105"/>
      <c r="I1099" s="105"/>
      <c r="J1099" s="105"/>
      <c r="K1099" s="105"/>
      <c r="L1099" s="105"/>
      <c r="N1099" s="105"/>
      <c r="P1099" s="105"/>
    </row>
    <row r="1100" spans="2:16">
      <c r="B1100" s="107"/>
      <c r="C1100" s="105"/>
      <c r="D1100" s="105"/>
      <c r="E1100" s="105"/>
      <c r="F1100" s="105"/>
      <c r="G1100" s="105"/>
      <c r="H1100" s="105"/>
      <c r="I1100" s="105"/>
      <c r="J1100" s="105"/>
      <c r="K1100" s="105"/>
      <c r="L1100" s="105"/>
      <c r="N1100" s="105"/>
      <c r="P1100" s="105"/>
    </row>
    <row r="1101" spans="2:16">
      <c r="B1101" s="107"/>
      <c r="C1101" s="105"/>
      <c r="D1101" s="105"/>
      <c r="E1101" s="105"/>
      <c r="F1101" s="105"/>
      <c r="G1101" s="105"/>
      <c r="H1101" s="105"/>
      <c r="I1101" s="105"/>
      <c r="J1101" s="105"/>
      <c r="K1101" s="105"/>
      <c r="L1101" s="105"/>
      <c r="N1101" s="105"/>
      <c r="P1101" s="105"/>
    </row>
    <row r="1102" spans="2:16">
      <c r="B1102" s="107"/>
      <c r="C1102" s="105"/>
      <c r="D1102" s="105"/>
      <c r="E1102" s="105"/>
      <c r="F1102" s="105"/>
      <c r="G1102" s="105"/>
      <c r="H1102" s="105"/>
      <c r="I1102" s="105"/>
      <c r="J1102" s="105"/>
      <c r="K1102" s="105"/>
      <c r="L1102" s="105"/>
      <c r="N1102" s="105"/>
      <c r="P1102" s="105"/>
    </row>
    <row r="1103" spans="2:16">
      <c r="B1103" s="107"/>
      <c r="C1103" s="105"/>
      <c r="D1103" s="105"/>
      <c r="E1103" s="105"/>
      <c r="F1103" s="105"/>
      <c r="G1103" s="105"/>
      <c r="H1103" s="105"/>
      <c r="I1103" s="105"/>
      <c r="J1103" s="105"/>
      <c r="K1103" s="105"/>
      <c r="L1103" s="105"/>
      <c r="N1103" s="105"/>
      <c r="P1103" s="105"/>
    </row>
    <row r="1104" spans="2:16">
      <c r="B1104" s="107"/>
      <c r="C1104" s="105"/>
      <c r="D1104" s="105"/>
      <c r="E1104" s="105"/>
      <c r="F1104" s="105"/>
      <c r="G1104" s="105"/>
      <c r="H1104" s="105"/>
      <c r="I1104" s="105"/>
      <c r="J1104" s="105"/>
      <c r="K1104" s="105"/>
      <c r="L1104" s="105"/>
      <c r="N1104" s="105"/>
      <c r="P1104" s="105"/>
    </row>
    <row r="1105" spans="2:16">
      <c r="B1105" s="107"/>
      <c r="C1105" s="105"/>
      <c r="D1105" s="105"/>
      <c r="E1105" s="105"/>
      <c r="F1105" s="105"/>
      <c r="G1105" s="105"/>
      <c r="H1105" s="105"/>
      <c r="I1105" s="105"/>
      <c r="J1105" s="105"/>
      <c r="K1105" s="105"/>
      <c r="L1105" s="105"/>
      <c r="N1105" s="105"/>
      <c r="P1105" s="105"/>
    </row>
    <row r="1106" spans="2:16">
      <c r="B1106" s="107"/>
      <c r="C1106" s="105"/>
      <c r="D1106" s="105"/>
      <c r="E1106" s="105"/>
      <c r="F1106" s="105"/>
      <c r="G1106" s="105"/>
      <c r="H1106" s="105"/>
      <c r="I1106" s="105"/>
      <c r="J1106" s="105"/>
      <c r="K1106" s="105"/>
      <c r="L1106" s="105"/>
      <c r="N1106" s="105"/>
      <c r="P1106" s="105"/>
    </row>
    <row r="1107" spans="2:16">
      <c r="B1107" s="107"/>
      <c r="C1107" s="105"/>
      <c r="D1107" s="105"/>
      <c r="E1107" s="105"/>
      <c r="F1107" s="105"/>
      <c r="G1107" s="105"/>
      <c r="H1107" s="105"/>
      <c r="I1107" s="105"/>
      <c r="J1107" s="105"/>
      <c r="K1107" s="105"/>
      <c r="L1107" s="105"/>
      <c r="N1107" s="105"/>
      <c r="P1107" s="105"/>
    </row>
    <row r="1108" spans="2:16">
      <c r="B1108" s="107"/>
      <c r="C1108" s="105"/>
      <c r="D1108" s="105"/>
      <c r="E1108" s="105"/>
      <c r="F1108" s="105"/>
      <c r="G1108" s="105"/>
      <c r="H1108" s="105"/>
      <c r="I1108" s="105"/>
      <c r="J1108" s="105"/>
      <c r="K1108" s="105"/>
      <c r="L1108" s="105"/>
      <c r="N1108" s="105"/>
      <c r="P1108" s="105"/>
    </row>
    <row r="1109" spans="2:16">
      <c r="B1109" s="107"/>
      <c r="C1109" s="105"/>
      <c r="D1109" s="105"/>
      <c r="E1109" s="105"/>
      <c r="F1109" s="105"/>
      <c r="G1109" s="105"/>
      <c r="H1109" s="105"/>
      <c r="I1109" s="105"/>
      <c r="J1109" s="105"/>
      <c r="K1109" s="105"/>
      <c r="L1109" s="105"/>
      <c r="N1109" s="105"/>
      <c r="P1109" s="105"/>
    </row>
    <row r="1110" spans="2:16">
      <c r="B1110" s="107"/>
      <c r="C1110" s="105"/>
      <c r="D1110" s="105"/>
      <c r="E1110" s="105"/>
      <c r="F1110" s="105"/>
      <c r="G1110" s="105"/>
      <c r="H1110" s="105"/>
      <c r="I1110" s="105"/>
      <c r="J1110" s="105"/>
      <c r="K1110" s="105"/>
      <c r="L1110" s="105"/>
      <c r="N1110" s="105"/>
      <c r="P1110" s="105"/>
    </row>
    <row r="1111" spans="2:16">
      <c r="B1111" s="107"/>
      <c r="C1111" s="105"/>
      <c r="D1111" s="105"/>
      <c r="E1111" s="105"/>
      <c r="F1111" s="105"/>
      <c r="G1111" s="105"/>
      <c r="H1111" s="105"/>
      <c r="I1111" s="105"/>
      <c r="J1111" s="105"/>
      <c r="K1111" s="105"/>
      <c r="L1111" s="105"/>
      <c r="N1111" s="105"/>
      <c r="P1111" s="105"/>
    </row>
    <row r="1112" spans="2:16">
      <c r="B1112" s="107"/>
      <c r="C1112" s="105"/>
      <c r="D1112" s="105"/>
      <c r="E1112" s="105"/>
      <c r="F1112" s="105"/>
      <c r="G1112" s="105"/>
      <c r="H1112" s="105"/>
      <c r="I1112" s="105"/>
      <c r="J1112" s="105"/>
      <c r="K1112" s="105"/>
      <c r="L1112" s="105"/>
      <c r="N1112" s="105"/>
      <c r="P1112" s="105"/>
    </row>
    <row r="1113" spans="2:16">
      <c r="B1113" s="107"/>
      <c r="C1113" s="105"/>
      <c r="D1113" s="105"/>
      <c r="E1113" s="105"/>
      <c r="F1113" s="105"/>
      <c r="G1113" s="105"/>
      <c r="H1113" s="105"/>
      <c r="I1113" s="105"/>
      <c r="J1113" s="105"/>
      <c r="K1113" s="105"/>
      <c r="L1113" s="105"/>
      <c r="N1113" s="105"/>
      <c r="P1113" s="105"/>
    </row>
    <row r="1114" spans="2:16">
      <c r="B1114" s="107"/>
      <c r="C1114" s="105"/>
      <c r="D1114" s="105"/>
      <c r="E1114" s="105"/>
      <c r="F1114" s="105"/>
      <c r="G1114" s="105"/>
      <c r="H1114" s="105"/>
      <c r="I1114" s="105"/>
      <c r="J1114" s="105"/>
      <c r="K1114" s="105"/>
      <c r="L1114" s="105"/>
      <c r="N1114" s="105"/>
      <c r="P1114" s="105"/>
    </row>
    <row r="1115" spans="2:16">
      <c r="B1115" s="107"/>
      <c r="C1115" s="105"/>
      <c r="D1115" s="105"/>
      <c r="E1115" s="105"/>
      <c r="F1115" s="105"/>
      <c r="G1115" s="105"/>
      <c r="H1115" s="105"/>
      <c r="I1115" s="105"/>
      <c r="J1115" s="105"/>
      <c r="K1115" s="105"/>
      <c r="L1115" s="105"/>
      <c r="N1115" s="105"/>
      <c r="P1115" s="105"/>
    </row>
    <row r="1116" spans="2:16">
      <c r="B1116" s="107"/>
      <c r="C1116" s="105"/>
      <c r="D1116" s="105"/>
      <c r="E1116" s="105"/>
      <c r="F1116" s="105"/>
      <c r="G1116" s="105"/>
      <c r="H1116" s="105"/>
      <c r="I1116" s="105"/>
      <c r="J1116" s="105"/>
      <c r="K1116" s="105"/>
      <c r="L1116" s="105"/>
      <c r="N1116" s="105"/>
      <c r="P1116" s="105"/>
    </row>
    <row r="1117" spans="2:16">
      <c r="B1117" s="107"/>
      <c r="C1117" s="105"/>
      <c r="D1117" s="105"/>
      <c r="E1117" s="105"/>
      <c r="F1117" s="105"/>
      <c r="G1117" s="105"/>
      <c r="H1117" s="105"/>
      <c r="I1117" s="105"/>
      <c r="J1117" s="105"/>
      <c r="K1117" s="105"/>
      <c r="L1117" s="105"/>
      <c r="N1117" s="105"/>
      <c r="P1117" s="105"/>
    </row>
    <row r="1118" spans="2:16">
      <c r="B1118" s="107"/>
      <c r="C1118" s="105"/>
      <c r="D1118" s="105"/>
      <c r="E1118" s="105"/>
      <c r="F1118" s="105"/>
      <c r="G1118" s="105"/>
      <c r="H1118" s="105"/>
      <c r="I1118" s="105"/>
      <c r="J1118" s="105"/>
      <c r="K1118" s="105"/>
      <c r="L1118" s="105"/>
      <c r="N1118" s="105"/>
      <c r="P1118" s="105"/>
    </row>
    <row r="1119" spans="2:16">
      <c r="B1119" s="107"/>
      <c r="C1119" s="105"/>
      <c r="D1119" s="105"/>
      <c r="E1119" s="105"/>
      <c r="F1119" s="105"/>
      <c r="G1119" s="105"/>
      <c r="H1119" s="105"/>
      <c r="I1119" s="105"/>
      <c r="J1119" s="105"/>
      <c r="K1119" s="105"/>
      <c r="L1119" s="105"/>
      <c r="N1119" s="105"/>
      <c r="P1119" s="105"/>
    </row>
    <row r="1120" spans="2:16">
      <c r="B1120" s="107"/>
      <c r="C1120" s="105"/>
      <c r="D1120" s="105"/>
      <c r="E1120" s="105"/>
      <c r="F1120" s="105"/>
      <c r="G1120" s="105"/>
      <c r="H1120" s="105"/>
      <c r="I1120" s="105"/>
      <c r="J1120" s="105"/>
      <c r="K1120" s="105"/>
      <c r="L1120" s="105"/>
      <c r="N1120" s="105"/>
      <c r="P1120" s="105"/>
    </row>
    <row r="1121" spans="2:16">
      <c r="B1121" s="107"/>
      <c r="C1121" s="105"/>
      <c r="D1121" s="105"/>
      <c r="E1121" s="105"/>
      <c r="F1121" s="105"/>
      <c r="G1121" s="105"/>
      <c r="H1121" s="105"/>
      <c r="I1121" s="105"/>
      <c r="J1121" s="105"/>
      <c r="K1121" s="105"/>
      <c r="L1121" s="105"/>
      <c r="N1121" s="105"/>
      <c r="P1121" s="105"/>
    </row>
    <row r="1122" spans="2:16">
      <c r="B1122" s="107"/>
      <c r="C1122" s="105"/>
      <c r="D1122" s="105"/>
      <c r="E1122" s="105"/>
      <c r="F1122" s="105"/>
      <c r="G1122" s="105"/>
      <c r="H1122" s="105"/>
      <c r="I1122" s="105"/>
      <c r="J1122" s="105"/>
      <c r="K1122" s="105"/>
      <c r="L1122" s="105"/>
      <c r="N1122" s="105"/>
      <c r="P1122" s="105"/>
    </row>
    <row r="1123" spans="2:16">
      <c r="B1123" s="107"/>
      <c r="C1123" s="105"/>
      <c r="D1123" s="105"/>
      <c r="E1123" s="105"/>
      <c r="F1123" s="105"/>
      <c r="G1123" s="105"/>
      <c r="H1123" s="105"/>
      <c r="I1123" s="105"/>
      <c r="J1123" s="105"/>
      <c r="K1123" s="105"/>
      <c r="L1123" s="105"/>
      <c r="N1123" s="105"/>
      <c r="P1123" s="105"/>
    </row>
    <row r="1124" spans="2:16">
      <c r="B1124" s="107"/>
      <c r="C1124" s="105"/>
      <c r="D1124" s="105"/>
      <c r="E1124" s="105"/>
      <c r="F1124" s="105"/>
      <c r="G1124" s="105"/>
      <c r="H1124" s="105"/>
      <c r="I1124" s="105"/>
      <c r="J1124" s="105"/>
      <c r="K1124" s="105"/>
      <c r="L1124" s="105"/>
      <c r="N1124" s="105"/>
      <c r="P1124" s="105"/>
    </row>
    <row r="1125" spans="2:16">
      <c r="B1125" s="107"/>
      <c r="C1125" s="105"/>
      <c r="D1125" s="105"/>
      <c r="E1125" s="105"/>
      <c r="F1125" s="105"/>
      <c r="G1125" s="105"/>
      <c r="H1125" s="105"/>
      <c r="I1125" s="105"/>
      <c r="J1125" s="105"/>
      <c r="K1125" s="105"/>
      <c r="L1125" s="105"/>
      <c r="N1125" s="105"/>
      <c r="P1125" s="105"/>
    </row>
    <row r="1126" spans="2:16">
      <c r="B1126" s="107"/>
      <c r="C1126" s="105"/>
      <c r="D1126" s="105"/>
      <c r="E1126" s="105"/>
      <c r="F1126" s="105"/>
      <c r="G1126" s="105"/>
      <c r="H1126" s="105"/>
      <c r="I1126" s="105"/>
      <c r="J1126" s="105"/>
      <c r="K1126" s="105"/>
      <c r="L1126" s="105"/>
      <c r="N1126" s="105"/>
      <c r="P1126" s="105"/>
    </row>
    <row r="1127" spans="2:16">
      <c r="B1127" s="107"/>
      <c r="C1127" s="105"/>
      <c r="D1127" s="105"/>
      <c r="E1127" s="105"/>
      <c r="F1127" s="105"/>
      <c r="G1127" s="105"/>
      <c r="H1127" s="105"/>
      <c r="I1127" s="105"/>
      <c r="J1127" s="105"/>
      <c r="K1127" s="105"/>
      <c r="L1127" s="105"/>
      <c r="N1127" s="105"/>
      <c r="P1127" s="105"/>
    </row>
    <row r="1128" spans="2:16">
      <c r="B1128" s="107"/>
      <c r="C1128" s="105"/>
      <c r="D1128" s="105"/>
      <c r="E1128" s="105"/>
      <c r="F1128" s="105"/>
      <c r="G1128" s="105"/>
      <c r="H1128" s="105"/>
      <c r="I1128" s="105"/>
      <c r="J1128" s="105"/>
      <c r="K1128" s="105"/>
      <c r="L1128" s="105"/>
      <c r="N1128" s="105"/>
      <c r="P1128" s="105"/>
    </row>
    <row r="1129" spans="2:16">
      <c r="B1129" s="107"/>
      <c r="C1129" s="105"/>
      <c r="D1129" s="105"/>
      <c r="E1129" s="105"/>
      <c r="F1129" s="105"/>
      <c r="G1129" s="105"/>
      <c r="H1129" s="105"/>
      <c r="I1129" s="105"/>
      <c r="J1129" s="105"/>
      <c r="K1129" s="105"/>
      <c r="L1129" s="105"/>
      <c r="N1129" s="105"/>
      <c r="P1129" s="105"/>
    </row>
    <row r="1130" spans="2:16">
      <c r="B1130" s="107"/>
      <c r="C1130" s="105"/>
      <c r="D1130" s="105"/>
      <c r="E1130" s="105"/>
      <c r="F1130" s="105"/>
      <c r="G1130" s="105"/>
      <c r="H1130" s="105"/>
      <c r="I1130" s="105"/>
      <c r="J1130" s="105"/>
      <c r="K1130" s="105"/>
      <c r="L1130" s="105"/>
      <c r="N1130" s="105"/>
      <c r="P1130" s="105"/>
    </row>
    <row r="1131" spans="2:16">
      <c r="B1131" s="107"/>
      <c r="C1131" s="105"/>
      <c r="D1131" s="105"/>
      <c r="E1131" s="105"/>
      <c r="F1131" s="105"/>
      <c r="G1131" s="105"/>
      <c r="H1131" s="105"/>
      <c r="I1131" s="105"/>
      <c r="J1131" s="105"/>
      <c r="K1131" s="105"/>
      <c r="L1131" s="105"/>
      <c r="N1131" s="105"/>
      <c r="P1131" s="105"/>
    </row>
    <row r="1132" spans="2:16">
      <c r="B1132" s="107"/>
      <c r="C1132" s="105"/>
      <c r="D1132" s="105"/>
      <c r="E1132" s="105"/>
      <c r="F1132" s="105"/>
      <c r="G1132" s="105"/>
      <c r="H1132" s="105"/>
      <c r="I1132" s="105"/>
      <c r="J1132" s="105"/>
      <c r="K1132" s="105"/>
      <c r="L1132" s="105"/>
      <c r="N1132" s="105"/>
      <c r="P1132" s="105"/>
    </row>
    <row r="1133" spans="2:16">
      <c r="B1133" s="107"/>
      <c r="C1133" s="105"/>
      <c r="D1133" s="105"/>
      <c r="E1133" s="105"/>
      <c r="F1133" s="105"/>
      <c r="G1133" s="105"/>
      <c r="H1133" s="105"/>
      <c r="I1133" s="105"/>
      <c r="J1133" s="105"/>
      <c r="K1133" s="105"/>
      <c r="L1133" s="105"/>
      <c r="N1133" s="105"/>
      <c r="P1133" s="105"/>
    </row>
    <row r="1134" spans="2:16">
      <c r="B1134" s="107"/>
      <c r="C1134" s="105"/>
      <c r="D1134" s="105"/>
      <c r="E1134" s="105"/>
      <c r="F1134" s="105"/>
      <c r="G1134" s="105"/>
      <c r="H1134" s="105"/>
      <c r="I1134" s="105"/>
      <c r="J1134" s="105"/>
      <c r="K1134" s="105"/>
      <c r="L1134" s="105"/>
      <c r="N1134" s="105"/>
      <c r="P1134" s="105"/>
    </row>
    <row r="1135" spans="2:16">
      <c r="B1135" s="107"/>
      <c r="C1135" s="105"/>
      <c r="D1135" s="105"/>
      <c r="E1135" s="105"/>
      <c r="F1135" s="105"/>
      <c r="G1135" s="105"/>
      <c r="H1135" s="105"/>
      <c r="I1135" s="105"/>
      <c r="J1135" s="105"/>
      <c r="K1135" s="105"/>
      <c r="L1135" s="105"/>
      <c r="N1135" s="105"/>
      <c r="P1135" s="105"/>
    </row>
    <row r="1136" spans="2:16">
      <c r="B1136" s="107"/>
      <c r="C1136" s="105"/>
      <c r="D1136" s="105"/>
      <c r="E1136" s="105"/>
      <c r="F1136" s="105"/>
      <c r="G1136" s="105"/>
      <c r="H1136" s="105"/>
      <c r="I1136" s="105"/>
      <c r="J1136" s="105"/>
      <c r="K1136" s="105"/>
      <c r="L1136" s="105"/>
      <c r="N1136" s="105"/>
      <c r="P1136" s="105"/>
    </row>
    <row r="1137" spans="2:16">
      <c r="B1137" s="107"/>
      <c r="C1137" s="105"/>
      <c r="D1137" s="105"/>
      <c r="E1137" s="105"/>
      <c r="F1137" s="105"/>
      <c r="G1137" s="105"/>
      <c r="H1137" s="105"/>
      <c r="I1137" s="105"/>
      <c r="J1137" s="105"/>
      <c r="K1137" s="105"/>
      <c r="L1137" s="105"/>
      <c r="N1137" s="105"/>
      <c r="P1137" s="105"/>
    </row>
    <row r="1138" spans="2:16">
      <c r="B1138" s="107"/>
      <c r="C1138" s="105"/>
      <c r="D1138" s="105"/>
      <c r="E1138" s="105"/>
      <c r="F1138" s="105"/>
      <c r="G1138" s="105"/>
      <c r="H1138" s="105"/>
      <c r="I1138" s="105"/>
      <c r="J1138" s="105"/>
      <c r="K1138" s="105"/>
      <c r="L1138" s="105"/>
      <c r="N1138" s="105"/>
      <c r="P1138" s="105"/>
    </row>
    <row r="1139" spans="2:16">
      <c r="B1139" s="107"/>
      <c r="C1139" s="105"/>
      <c r="D1139" s="105"/>
      <c r="E1139" s="105"/>
      <c r="F1139" s="105"/>
      <c r="G1139" s="105"/>
      <c r="H1139" s="105"/>
      <c r="I1139" s="105"/>
      <c r="J1139" s="105"/>
      <c r="K1139" s="105"/>
      <c r="L1139" s="105"/>
      <c r="N1139" s="105"/>
      <c r="P1139" s="105"/>
    </row>
    <row r="1140" spans="2:16">
      <c r="B1140" s="107"/>
      <c r="C1140" s="105"/>
      <c r="D1140" s="105"/>
      <c r="E1140" s="105"/>
      <c r="F1140" s="105"/>
      <c r="G1140" s="105"/>
      <c r="H1140" s="105"/>
      <c r="I1140" s="105"/>
      <c r="J1140" s="105"/>
      <c r="K1140" s="105"/>
      <c r="L1140" s="105"/>
      <c r="N1140" s="105"/>
      <c r="P1140" s="105"/>
    </row>
    <row r="1141" spans="2:16">
      <c r="B1141" s="107"/>
      <c r="C1141" s="105"/>
      <c r="D1141" s="105"/>
      <c r="E1141" s="105"/>
      <c r="F1141" s="105"/>
      <c r="G1141" s="105"/>
      <c r="H1141" s="105"/>
      <c r="I1141" s="105"/>
      <c r="J1141" s="105"/>
      <c r="K1141" s="105"/>
      <c r="L1141" s="105"/>
      <c r="N1141" s="105"/>
      <c r="P1141" s="105"/>
    </row>
    <row r="1142" spans="2:16">
      <c r="B1142" s="107"/>
      <c r="C1142" s="105"/>
      <c r="D1142" s="105"/>
      <c r="E1142" s="105"/>
      <c r="F1142" s="105"/>
      <c r="G1142" s="105"/>
      <c r="H1142" s="105"/>
      <c r="I1142" s="105"/>
      <c r="J1142" s="105"/>
      <c r="K1142" s="105"/>
      <c r="L1142" s="105"/>
      <c r="N1142" s="105"/>
      <c r="P1142" s="105"/>
    </row>
    <row r="1143" spans="2:16">
      <c r="B1143" s="107"/>
      <c r="C1143" s="105"/>
      <c r="D1143" s="105"/>
      <c r="E1143" s="105"/>
      <c r="F1143" s="105"/>
      <c r="G1143" s="105"/>
      <c r="H1143" s="105"/>
      <c r="I1143" s="105"/>
      <c r="J1143" s="105"/>
      <c r="K1143" s="105"/>
      <c r="L1143" s="105"/>
      <c r="N1143" s="105"/>
      <c r="P1143" s="105"/>
    </row>
    <row r="1144" spans="2:16">
      <c r="B1144" s="107"/>
      <c r="C1144" s="105"/>
      <c r="D1144" s="105"/>
      <c r="E1144" s="105"/>
      <c r="F1144" s="105"/>
      <c r="G1144" s="105"/>
      <c r="H1144" s="105"/>
      <c r="I1144" s="105"/>
      <c r="J1144" s="105"/>
      <c r="K1144" s="105"/>
      <c r="L1144" s="105"/>
      <c r="N1144" s="105"/>
      <c r="P1144" s="105"/>
    </row>
    <row r="1145" spans="2:16">
      <c r="B1145" s="107"/>
      <c r="C1145" s="105"/>
      <c r="D1145" s="105"/>
      <c r="E1145" s="105"/>
      <c r="F1145" s="105"/>
      <c r="G1145" s="105"/>
      <c r="H1145" s="105"/>
      <c r="I1145" s="105"/>
      <c r="J1145" s="105"/>
      <c r="K1145" s="105"/>
      <c r="L1145" s="105"/>
      <c r="N1145" s="105"/>
      <c r="P1145" s="105"/>
    </row>
    <row r="1146" spans="2:16">
      <c r="B1146" s="107"/>
      <c r="C1146" s="105"/>
      <c r="D1146" s="105"/>
      <c r="E1146" s="105"/>
      <c r="F1146" s="105"/>
      <c r="G1146" s="105"/>
      <c r="H1146" s="105"/>
      <c r="I1146" s="105"/>
      <c r="J1146" s="105"/>
      <c r="K1146" s="105"/>
      <c r="L1146" s="105"/>
      <c r="N1146" s="105"/>
      <c r="P1146" s="105"/>
    </row>
    <row r="1147" spans="2:16">
      <c r="B1147" s="107"/>
      <c r="C1147" s="105"/>
      <c r="D1147" s="105"/>
      <c r="E1147" s="105"/>
      <c r="F1147" s="105"/>
      <c r="G1147" s="105"/>
      <c r="H1147" s="105"/>
      <c r="I1147" s="105"/>
      <c r="J1147" s="105"/>
      <c r="K1147" s="105"/>
      <c r="L1147" s="105"/>
      <c r="N1147" s="105"/>
      <c r="P1147" s="105"/>
    </row>
    <row r="1148" spans="2:16">
      <c r="B1148" s="107"/>
      <c r="C1148" s="105"/>
      <c r="D1148" s="105"/>
      <c r="E1148" s="105"/>
      <c r="F1148" s="105"/>
      <c r="G1148" s="105"/>
      <c r="H1148" s="105"/>
      <c r="I1148" s="105"/>
      <c r="J1148" s="105"/>
      <c r="K1148" s="105"/>
      <c r="L1148" s="105"/>
      <c r="N1148" s="105"/>
      <c r="P1148" s="105"/>
    </row>
    <row r="1149" spans="2:16">
      <c r="B1149" s="107"/>
      <c r="C1149" s="105"/>
      <c r="D1149" s="105"/>
      <c r="E1149" s="105"/>
      <c r="F1149" s="105"/>
      <c r="G1149" s="105"/>
      <c r="H1149" s="105"/>
      <c r="I1149" s="105"/>
      <c r="J1149" s="105"/>
      <c r="K1149" s="105"/>
      <c r="L1149" s="105"/>
      <c r="N1149" s="105"/>
      <c r="P1149" s="105"/>
    </row>
    <row r="1150" spans="2:16">
      <c r="B1150" s="107"/>
      <c r="C1150" s="105"/>
      <c r="D1150" s="105"/>
      <c r="E1150" s="105"/>
      <c r="F1150" s="105"/>
      <c r="G1150" s="105"/>
      <c r="H1150" s="105"/>
      <c r="I1150" s="105"/>
      <c r="J1150" s="105"/>
      <c r="K1150" s="105"/>
      <c r="L1150" s="105"/>
      <c r="N1150" s="105"/>
      <c r="P1150" s="105"/>
    </row>
    <row r="1151" spans="2:16">
      <c r="B1151" s="107"/>
      <c r="C1151" s="105"/>
      <c r="D1151" s="105"/>
      <c r="E1151" s="105"/>
      <c r="F1151" s="105"/>
      <c r="G1151" s="105"/>
      <c r="H1151" s="105"/>
      <c r="I1151" s="105"/>
      <c r="J1151" s="105"/>
      <c r="K1151" s="105"/>
      <c r="L1151" s="105"/>
      <c r="N1151" s="105"/>
      <c r="P1151" s="105"/>
    </row>
    <row r="1152" spans="2:16">
      <c r="B1152" s="107"/>
      <c r="C1152" s="105"/>
      <c r="D1152" s="105"/>
      <c r="E1152" s="105"/>
      <c r="F1152" s="105"/>
      <c r="G1152" s="105"/>
      <c r="H1152" s="105"/>
      <c r="I1152" s="105"/>
      <c r="J1152" s="105"/>
      <c r="K1152" s="105"/>
      <c r="L1152" s="105"/>
      <c r="N1152" s="105"/>
      <c r="P1152" s="105"/>
    </row>
    <row r="1153" spans="2:16">
      <c r="B1153" s="107"/>
      <c r="C1153" s="105"/>
      <c r="D1153" s="105"/>
      <c r="E1153" s="105"/>
      <c r="F1153" s="105"/>
      <c r="G1153" s="105"/>
      <c r="H1153" s="105"/>
      <c r="I1153" s="105"/>
      <c r="J1153" s="105"/>
      <c r="K1153" s="105"/>
      <c r="L1153" s="105"/>
      <c r="N1153" s="105"/>
      <c r="P1153" s="105"/>
    </row>
    <row r="1154" spans="2:16">
      <c r="B1154" s="107"/>
      <c r="C1154" s="105"/>
      <c r="D1154" s="105"/>
      <c r="E1154" s="105"/>
      <c r="F1154" s="105"/>
      <c r="G1154" s="105"/>
      <c r="H1154" s="105"/>
      <c r="I1154" s="105"/>
      <c r="J1154" s="105"/>
      <c r="K1154" s="105"/>
      <c r="L1154" s="105"/>
      <c r="N1154" s="105"/>
      <c r="P1154" s="105"/>
    </row>
    <row r="1155" spans="2:16">
      <c r="B1155" s="107"/>
      <c r="C1155" s="105"/>
      <c r="D1155" s="105"/>
      <c r="E1155" s="105"/>
      <c r="F1155" s="105"/>
      <c r="G1155" s="105"/>
      <c r="H1155" s="105"/>
      <c r="I1155" s="105"/>
      <c r="J1155" s="105"/>
      <c r="K1155" s="105"/>
      <c r="L1155" s="105"/>
      <c r="N1155" s="105"/>
      <c r="P1155" s="105"/>
    </row>
    <row r="1156" spans="2:16">
      <c r="B1156" s="107"/>
      <c r="C1156" s="105"/>
      <c r="D1156" s="105"/>
      <c r="E1156" s="105"/>
      <c r="F1156" s="105"/>
      <c r="G1156" s="105"/>
      <c r="H1156" s="105"/>
      <c r="I1156" s="105"/>
      <c r="J1156" s="105"/>
      <c r="K1156" s="105"/>
      <c r="L1156" s="105"/>
      <c r="N1156" s="105"/>
      <c r="P1156" s="105"/>
    </row>
    <row r="1157" spans="2:16">
      <c r="B1157" s="107"/>
      <c r="C1157" s="105"/>
      <c r="D1157" s="105"/>
      <c r="E1157" s="105"/>
      <c r="F1157" s="105"/>
      <c r="G1157" s="105"/>
      <c r="H1157" s="105"/>
      <c r="I1157" s="105"/>
      <c r="J1157" s="105"/>
      <c r="K1157" s="105"/>
      <c r="L1157" s="105"/>
      <c r="N1157" s="105"/>
      <c r="P1157" s="105"/>
    </row>
    <row r="1158" spans="2:16">
      <c r="B1158" s="107"/>
      <c r="C1158" s="105"/>
      <c r="D1158" s="105"/>
      <c r="E1158" s="105"/>
      <c r="F1158" s="105"/>
      <c r="G1158" s="105"/>
      <c r="H1158" s="105"/>
      <c r="I1158" s="105"/>
      <c r="J1158" s="105"/>
      <c r="K1158" s="105"/>
      <c r="L1158" s="105"/>
      <c r="N1158" s="105"/>
      <c r="P1158" s="105"/>
    </row>
    <row r="1159" spans="2:16">
      <c r="B1159" s="107"/>
      <c r="C1159" s="105"/>
      <c r="D1159" s="105"/>
      <c r="E1159" s="105"/>
      <c r="F1159" s="105"/>
      <c r="G1159" s="105"/>
      <c r="H1159" s="105"/>
      <c r="I1159" s="105"/>
      <c r="J1159" s="105"/>
      <c r="K1159" s="105"/>
      <c r="L1159" s="105"/>
      <c r="N1159" s="105"/>
      <c r="P1159" s="105"/>
    </row>
    <row r="1160" spans="2:16">
      <c r="B1160" s="107"/>
      <c r="C1160" s="105"/>
      <c r="D1160" s="105"/>
      <c r="E1160" s="105"/>
      <c r="F1160" s="105"/>
      <c r="G1160" s="105"/>
      <c r="H1160" s="105"/>
      <c r="I1160" s="105"/>
      <c r="J1160" s="105"/>
      <c r="K1160" s="105"/>
      <c r="L1160" s="105"/>
      <c r="N1160" s="105"/>
      <c r="P1160" s="105"/>
    </row>
    <row r="1161" spans="2:16">
      <c r="B1161" s="107"/>
      <c r="C1161" s="105"/>
      <c r="D1161" s="105"/>
      <c r="E1161" s="105"/>
      <c r="F1161" s="105"/>
      <c r="G1161" s="105"/>
      <c r="H1161" s="105"/>
      <c r="I1161" s="105"/>
      <c r="J1161" s="105"/>
      <c r="K1161" s="105"/>
      <c r="L1161" s="105"/>
      <c r="N1161" s="105"/>
      <c r="P1161" s="105"/>
    </row>
    <row r="1162" spans="2:16">
      <c r="B1162" s="107"/>
      <c r="C1162" s="105"/>
      <c r="D1162" s="105"/>
      <c r="E1162" s="105"/>
      <c r="F1162" s="105"/>
      <c r="G1162" s="105"/>
      <c r="H1162" s="105"/>
      <c r="I1162" s="105"/>
      <c r="J1162" s="105"/>
      <c r="K1162" s="105"/>
      <c r="L1162" s="105"/>
      <c r="N1162" s="105"/>
      <c r="P1162" s="105"/>
    </row>
    <row r="1163" spans="2:16">
      <c r="B1163" s="107"/>
      <c r="C1163" s="105"/>
      <c r="D1163" s="105"/>
      <c r="E1163" s="105"/>
      <c r="F1163" s="105"/>
      <c r="G1163" s="105"/>
      <c r="H1163" s="105"/>
      <c r="I1163" s="105"/>
      <c r="J1163" s="105"/>
      <c r="K1163" s="105"/>
      <c r="L1163" s="105"/>
      <c r="N1163" s="105"/>
      <c r="P1163" s="105"/>
    </row>
    <row r="1164" spans="2:16">
      <c r="B1164" s="107"/>
      <c r="C1164" s="105"/>
      <c r="D1164" s="105"/>
      <c r="E1164" s="105"/>
      <c r="F1164" s="105"/>
      <c r="G1164" s="105"/>
      <c r="H1164" s="105"/>
      <c r="I1164" s="105"/>
      <c r="J1164" s="105"/>
      <c r="K1164" s="105"/>
      <c r="L1164" s="105"/>
      <c r="N1164" s="105"/>
      <c r="P1164" s="105"/>
    </row>
    <row r="1165" spans="2:16">
      <c r="B1165" s="107"/>
      <c r="C1165" s="105"/>
      <c r="D1165" s="105"/>
      <c r="E1165" s="105"/>
      <c r="F1165" s="105"/>
      <c r="G1165" s="105"/>
      <c r="H1165" s="105"/>
      <c r="I1165" s="105"/>
      <c r="J1165" s="105"/>
      <c r="K1165" s="105"/>
      <c r="L1165" s="105"/>
      <c r="N1165" s="105"/>
      <c r="P1165" s="105"/>
    </row>
    <row r="1166" spans="2:16">
      <c r="B1166" s="107"/>
      <c r="C1166" s="105"/>
      <c r="D1166" s="105"/>
      <c r="E1166" s="105"/>
      <c r="F1166" s="105"/>
      <c r="G1166" s="105"/>
      <c r="H1166" s="105"/>
      <c r="I1166" s="105"/>
      <c r="J1166" s="105"/>
      <c r="K1166" s="105"/>
      <c r="L1166" s="105"/>
      <c r="N1166" s="105"/>
      <c r="P1166" s="105"/>
    </row>
    <row r="1167" spans="2:16">
      <c r="B1167" s="107"/>
      <c r="C1167" s="105"/>
      <c r="D1167" s="105"/>
      <c r="E1167" s="105"/>
      <c r="F1167" s="105"/>
      <c r="G1167" s="105"/>
      <c r="H1167" s="105"/>
      <c r="I1167" s="105"/>
      <c r="J1167" s="105"/>
      <c r="K1167" s="105"/>
      <c r="L1167" s="105"/>
      <c r="N1167" s="105"/>
      <c r="P1167" s="105"/>
    </row>
    <row r="1168" spans="2:16">
      <c r="B1168" s="107"/>
      <c r="C1168" s="105"/>
      <c r="D1168" s="105"/>
      <c r="E1168" s="105"/>
      <c r="F1168" s="105"/>
      <c r="G1168" s="105"/>
      <c r="H1168" s="105"/>
      <c r="I1168" s="105"/>
      <c r="J1168" s="105"/>
      <c r="K1168" s="105"/>
      <c r="L1168" s="105"/>
      <c r="N1168" s="105"/>
      <c r="P1168" s="105"/>
    </row>
    <row r="1169" spans="2:16">
      <c r="B1169" s="107"/>
      <c r="C1169" s="105"/>
      <c r="D1169" s="105"/>
      <c r="E1169" s="105"/>
      <c r="F1169" s="105"/>
      <c r="G1169" s="105"/>
      <c r="H1169" s="105"/>
      <c r="I1169" s="105"/>
      <c r="J1169" s="105"/>
      <c r="K1169" s="105"/>
      <c r="L1169" s="105"/>
      <c r="N1169" s="105"/>
      <c r="P1169" s="105"/>
    </row>
    <row r="1170" spans="2:16">
      <c r="B1170" s="107"/>
      <c r="C1170" s="105"/>
      <c r="D1170" s="105"/>
      <c r="E1170" s="105"/>
      <c r="F1170" s="105"/>
      <c r="G1170" s="105"/>
      <c r="H1170" s="105"/>
      <c r="I1170" s="105"/>
      <c r="J1170" s="105"/>
      <c r="K1170" s="105"/>
      <c r="L1170" s="105"/>
      <c r="N1170" s="105"/>
      <c r="P1170" s="105"/>
    </row>
    <row r="1171" spans="2:16">
      <c r="B1171" s="107"/>
      <c r="C1171" s="105"/>
      <c r="D1171" s="105"/>
      <c r="E1171" s="105"/>
      <c r="F1171" s="105"/>
      <c r="G1171" s="105"/>
      <c r="H1171" s="105"/>
      <c r="I1171" s="105"/>
      <c r="J1171" s="105"/>
      <c r="K1171" s="105"/>
      <c r="L1171" s="105"/>
      <c r="N1171" s="105"/>
      <c r="P1171" s="105"/>
    </row>
    <row r="1172" spans="2:16">
      <c r="B1172" s="107"/>
      <c r="C1172" s="105"/>
      <c r="D1172" s="105"/>
      <c r="E1172" s="105"/>
      <c r="F1172" s="105"/>
      <c r="G1172" s="105"/>
      <c r="H1172" s="105"/>
      <c r="I1172" s="105"/>
      <c r="J1172" s="105"/>
      <c r="K1172" s="105"/>
      <c r="L1172" s="105"/>
      <c r="N1172" s="105"/>
      <c r="P1172" s="105"/>
    </row>
    <row r="1173" spans="2:16">
      <c r="B1173" s="107"/>
      <c r="C1173" s="105"/>
      <c r="D1173" s="105"/>
      <c r="E1173" s="105"/>
      <c r="F1173" s="105"/>
      <c r="G1173" s="105"/>
      <c r="H1173" s="105"/>
      <c r="I1173" s="105"/>
      <c r="J1173" s="105"/>
      <c r="K1173" s="105"/>
      <c r="L1173" s="105"/>
      <c r="N1173" s="105"/>
      <c r="P1173" s="105"/>
    </row>
    <row r="1174" spans="2:16">
      <c r="B1174" s="107"/>
      <c r="C1174" s="105"/>
      <c r="D1174" s="105"/>
      <c r="E1174" s="105"/>
      <c r="F1174" s="105"/>
      <c r="G1174" s="105"/>
      <c r="H1174" s="105"/>
      <c r="I1174" s="105"/>
      <c r="J1174" s="105"/>
      <c r="K1174" s="105"/>
      <c r="L1174" s="105"/>
      <c r="N1174" s="105"/>
      <c r="P1174" s="105"/>
    </row>
    <row r="1175" spans="2:16">
      <c r="B1175" s="107"/>
      <c r="C1175" s="105"/>
      <c r="D1175" s="105"/>
      <c r="E1175" s="105"/>
      <c r="F1175" s="105"/>
      <c r="G1175" s="105"/>
      <c r="H1175" s="105"/>
      <c r="I1175" s="105"/>
      <c r="J1175" s="105"/>
      <c r="K1175" s="105"/>
      <c r="L1175" s="105"/>
      <c r="N1175" s="105"/>
      <c r="P1175" s="105"/>
    </row>
    <row r="1176" spans="2:16">
      <c r="B1176" s="107"/>
      <c r="C1176" s="105"/>
      <c r="D1176" s="105"/>
      <c r="E1176" s="105"/>
      <c r="F1176" s="105"/>
      <c r="G1176" s="105"/>
      <c r="H1176" s="105"/>
      <c r="I1176" s="105"/>
      <c r="J1176" s="105"/>
      <c r="K1176" s="105"/>
      <c r="L1176" s="105"/>
      <c r="N1176" s="105"/>
      <c r="P1176" s="105"/>
    </row>
    <row r="1177" spans="2:16">
      <c r="B1177" s="107"/>
      <c r="C1177" s="105"/>
      <c r="D1177" s="105"/>
      <c r="E1177" s="105"/>
      <c r="F1177" s="105"/>
      <c r="G1177" s="105"/>
      <c r="H1177" s="105"/>
      <c r="I1177" s="105"/>
      <c r="J1177" s="105"/>
      <c r="K1177" s="105"/>
      <c r="L1177" s="105"/>
      <c r="N1177" s="105"/>
      <c r="P1177" s="105"/>
    </row>
    <row r="1178" spans="2:16">
      <c r="B1178" s="107"/>
      <c r="C1178" s="105"/>
      <c r="D1178" s="105"/>
      <c r="E1178" s="105"/>
      <c r="F1178" s="105"/>
      <c r="G1178" s="105"/>
      <c r="H1178" s="105"/>
      <c r="I1178" s="105"/>
      <c r="J1178" s="105"/>
      <c r="K1178" s="105"/>
      <c r="L1178" s="105"/>
      <c r="N1178" s="105"/>
      <c r="P1178" s="105"/>
    </row>
    <row r="1179" spans="2:16">
      <c r="B1179" s="107"/>
      <c r="C1179" s="105"/>
      <c r="D1179" s="105"/>
      <c r="E1179" s="105"/>
      <c r="F1179" s="105"/>
      <c r="G1179" s="105"/>
      <c r="H1179" s="105"/>
      <c r="I1179" s="105"/>
      <c r="J1179" s="105"/>
      <c r="K1179" s="105"/>
      <c r="L1179" s="105"/>
      <c r="N1179" s="105"/>
      <c r="P1179" s="105"/>
    </row>
    <row r="1180" spans="2:16">
      <c r="B1180" s="107"/>
      <c r="C1180" s="105"/>
      <c r="D1180" s="105"/>
      <c r="E1180" s="105"/>
      <c r="F1180" s="105"/>
      <c r="G1180" s="105"/>
      <c r="H1180" s="105"/>
      <c r="I1180" s="105"/>
      <c r="J1180" s="105"/>
      <c r="K1180" s="105"/>
      <c r="L1180" s="105"/>
      <c r="N1180" s="105"/>
      <c r="P1180" s="105"/>
    </row>
    <row r="1181" spans="2:16">
      <c r="B1181" s="107"/>
      <c r="C1181" s="105"/>
      <c r="D1181" s="105"/>
      <c r="E1181" s="105"/>
      <c r="F1181" s="105"/>
      <c r="G1181" s="105"/>
      <c r="H1181" s="105"/>
      <c r="I1181" s="105"/>
      <c r="J1181" s="105"/>
      <c r="K1181" s="105"/>
      <c r="L1181" s="105"/>
      <c r="N1181" s="105"/>
      <c r="P1181" s="105"/>
    </row>
    <row r="1182" spans="2:16">
      <c r="B1182" s="107"/>
      <c r="C1182" s="105"/>
      <c r="D1182" s="105"/>
      <c r="E1182" s="105"/>
      <c r="F1182" s="105"/>
      <c r="G1182" s="105"/>
      <c r="H1182" s="105"/>
      <c r="I1182" s="105"/>
      <c r="J1182" s="105"/>
      <c r="K1182" s="105"/>
      <c r="L1182" s="105"/>
      <c r="N1182" s="105"/>
      <c r="P1182" s="105"/>
    </row>
    <row r="1183" spans="2:16">
      <c r="B1183" s="107"/>
      <c r="C1183" s="105"/>
      <c r="D1183" s="105"/>
      <c r="E1183" s="105"/>
      <c r="F1183" s="105"/>
      <c r="G1183" s="105"/>
      <c r="H1183" s="105"/>
      <c r="I1183" s="105"/>
      <c r="J1183" s="105"/>
      <c r="K1183" s="105"/>
      <c r="L1183" s="105"/>
      <c r="N1183" s="105"/>
      <c r="P1183" s="105"/>
    </row>
    <row r="1184" spans="2:16">
      <c r="B1184" s="107"/>
      <c r="C1184" s="105"/>
      <c r="D1184" s="105"/>
      <c r="E1184" s="105"/>
      <c r="F1184" s="105"/>
      <c r="G1184" s="105"/>
      <c r="H1184" s="105"/>
      <c r="I1184" s="105"/>
      <c r="J1184" s="105"/>
      <c r="K1184" s="105"/>
      <c r="L1184" s="105"/>
      <c r="N1184" s="105"/>
      <c r="P1184" s="105"/>
    </row>
    <row r="1185" spans="2:16">
      <c r="B1185" s="107"/>
      <c r="C1185" s="105"/>
      <c r="D1185" s="105"/>
      <c r="E1185" s="105"/>
      <c r="F1185" s="105"/>
      <c r="G1185" s="105"/>
      <c r="H1185" s="105"/>
      <c r="I1185" s="105"/>
      <c r="J1185" s="105"/>
      <c r="K1185" s="105"/>
      <c r="L1185" s="105"/>
      <c r="N1185" s="105"/>
      <c r="P1185" s="105"/>
    </row>
    <row r="1186" spans="2:16">
      <c r="B1186" s="107"/>
      <c r="C1186" s="105"/>
      <c r="D1186" s="105"/>
      <c r="E1186" s="105"/>
      <c r="F1186" s="105"/>
      <c r="G1186" s="105"/>
      <c r="H1186" s="105"/>
      <c r="I1186" s="105"/>
      <c r="J1186" s="105"/>
      <c r="K1186" s="105"/>
      <c r="L1186" s="105"/>
      <c r="N1186" s="105"/>
      <c r="P1186" s="105"/>
    </row>
    <row r="1187" spans="2:16">
      <c r="B1187" s="107"/>
      <c r="C1187" s="105"/>
      <c r="D1187" s="105"/>
      <c r="E1187" s="105"/>
      <c r="F1187" s="105"/>
      <c r="G1187" s="105"/>
      <c r="H1187" s="105"/>
      <c r="I1187" s="105"/>
      <c r="J1187" s="105"/>
      <c r="K1187" s="105"/>
      <c r="L1187" s="105"/>
      <c r="N1187" s="105"/>
      <c r="P1187" s="105"/>
    </row>
    <row r="1188" spans="2:16">
      <c r="B1188" s="107"/>
      <c r="C1188" s="105"/>
      <c r="D1188" s="105"/>
      <c r="E1188" s="105"/>
      <c r="F1188" s="105"/>
      <c r="G1188" s="105"/>
      <c r="H1188" s="105"/>
      <c r="I1188" s="105"/>
      <c r="J1188" s="105"/>
      <c r="K1188" s="105"/>
      <c r="L1188" s="105"/>
      <c r="N1188" s="105"/>
      <c r="P1188" s="105"/>
    </row>
    <row r="1189" spans="2:16">
      <c r="B1189" s="107"/>
      <c r="C1189" s="105"/>
      <c r="D1189" s="105"/>
      <c r="E1189" s="105"/>
      <c r="F1189" s="105"/>
      <c r="G1189" s="105"/>
      <c r="H1189" s="105"/>
      <c r="I1189" s="105"/>
      <c r="J1189" s="105"/>
      <c r="K1189" s="105"/>
      <c r="L1189" s="105"/>
      <c r="N1189" s="105"/>
      <c r="P1189" s="105"/>
    </row>
    <row r="1190" spans="2:16">
      <c r="B1190" s="107"/>
      <c r="C1190" s="105"/>
      <c r="D1190" s="105"/>
      <c r="E1190" s="105"/>
      <c r="F1190" s="105"/>
      <c r="G1190" s="105"/>
      <c r="H1190" s="105"/>
      <c r="I1190" s="105"/>
      <c r="J1190" s="105"/>
      <c r="K1190" s="105"/>
      <c r="L1190" s="105"/>
      <c r="N1190" s="105"/>
      <c r="P1190" s="105"/>
    </row>
    <row r="1191" spans="2:16">
      <c r="B1191" s="107"/>
      <c r="C1191" s="105"/>
      <c r="D1191" s="105"/>
      <c r="E1191" s="105"/>
      <c r="F1191" s="105"/>
      <c r="G1191" s="105"/>
      <c r="H1191" s="105"/>
      <c r="I1191" s="105"/>
      <c r="J1191" s="105"/>
      <c r="K1191" s="105"/>
      <c r="L1191" s="105"/>
      <c r="N1191" s="105"/>
      <c r="P1191" s="105"/>
    </row>
    <row r="1192" spans="2:16">
      <c r="B1192" s="107"/>
      <c r="C1192" s="105"/>
      <c r="D1192" s="105"/>
      <c r="E1192" s="105"/>
      <c r="F1192" s="105"/>
      <c r="G1192" s="105"/>
      <c r="H1192" s="105"/>
      <c r="I1192" s="105"/>
      <c r="J1192" s="105"/>
      <c r="K1192" s="105"/>
      <c r="L1192" s="105"/>
      <c r="N1192" s="105"/>
      <c r="P1192" s="105"/>
    </row>
    <row r="1193" spans="2:16">
      <c r="B1193" s="107"/>
      <c r="C1193" s="105"/>
      <c r="D1193" s="105"/>
      <c r="E1193" s="105"/>
      <c r="F1193" s="105"/>
      <c r="G1193" s="105"/>
      <c r="H1193" s="105"/>
      <c r="I1193" s="105"/>
      <c r="J1193" s="105"/>
      <c r="K1193" s="105"/>
      <c r="L1193" s="105"/>
      <c r="N1193" s="105"/>
      <c r="P1193" s="105"/>
    </row>
    <row r="1194" spans="2:16">
      <c r="B1194" s="107"/>
      <c r="C1194" s="105"/>
      <c r="D1194" s="105"/>
      <c r="E1194" s="105"/>
      <c r="F1194" s="105"/>
      <c r="G1194" s="105"/>
      <c r="H1194" s="105"/>
      <c r="I1194" s="105"/>
      <c r="J1194" s="105"/>
      <c r="K1194" s="105"/>
      <c r="L1194" s="105"/>
      <c r="N1194" s="105"/>
      <c r="P1194" s="105"/>
    </row>
    <row r="1195" spans="2:16">
      <c r="B1195" s="107"/>
      <c r="C1195" s="105"/>
      <c r="D1195" s="105"/>
      <c r="E1195" s="105"/>
      <c r="F1195" s="105"/>
      <c r="G1195" s="105"/>
      <c r="H1195" s="105"/>
      <c r="I1195" s="105"/>
      <c r="J1195" s="105"/>
      <c r="K1195" s="105"/>
      <c r="L1195" s="105"/>
      <c r="N1195" s="105"/>
      <c r="P1195" s="105"/>
    </row>
    <row r="1196" spans="2:16">
      <c r="B1196" s="107"/>
      <c r="C1196" s="105"/>
      <c r="D1196" s="105"/>
      <c r="E1196" s="105"/>
      <c r="F1196" s="105"/>
      <c r="G1196" s="105"/>
      <c r="H1196" s="105"/>
      <c r="I1196" s="105"/>
      <c r="J1196" s="105"/>
      <c r="K1196" s="105"/>
      <c r="L1196" s="105"/>
      <c r="N1196" s="105"/>
      <c r="P1196" s="105"/>
    </row>
    <row r="1197" spans="2:16">
      <c r="B1197" s="107"/>
      <c r="C1197" s="105"/>
      <c r="D1197" s="105"/>
      <c r="E1197" s="105"/>
      <c r="F1197" s="105"/>
      <c r="G1197" s="105"/>
      <c r="H1197" s="105"/>
      <c r="I1197" s="105"/>
      <c r="J1197" s="105"/>
      <c r="K1197" s="105"/>
      <c r="L1197" s="105"/>
      <c r="N1197" s="105"/>
      <c r="P1197" s="105"/>
    </row>
    <row r="1198" spans="2:16">
      <c r="B1198" s="107"/>
      <c r="C1198" s="105"/>
      <c r="D1198" s="105"/>
      <c r="E1198" s="105"/>
      <c r="F1198" s="105"/>
      <c r="G1198" s="105"/>
      <c r="H1198" s="105"/>
      <c r="I1198" s="105"/>
      <c r="J1198" s="105"/>
      <c r="K1198" s="105"/>
      <c r="L1198" s="105"/>
      <c r="N1198" s="105"/>
      <c r="P1198" s="105"/>
    </row>
    <row r="1199" spans="2:16">
      <c r="B1199" s="107"/>
      <c r="C1199" s="105"/>
      <c r="D1199" s="105"/>
      <c r="E1199" s="105"/>
      <c r="F1199" s="105"/>
      <c r="G1199" s="105"/>
      <c r="H1199" s="105"/>
      <c r="I1199" s="105"/>
      <c r="J1199" s="105"/>
      <c r="K1199" s="105"/>
      <c r="L1199" s="105"/>
      <c r="N1199" s="105"/>
      <c r="P1199" s="105"/>
    </row>
    <row r="1200" spans="2:16">
      <c r="B1200" s="107"/>
      <c r="C1200" s="105"/>
      <c r="D1200" s="105"/>
      <c r="E1200" s="105"/>
      <c r="F1200" s="105"/>
      <c r="G1200" s="105"/>
      <c r="H1200" s="105"/>
      <c r="I1200" s="105"/>
      <c r="J1200" s="105"/>
      <c r="K1200" s="105"/>
      <c r="L1200" s="105"/>
      <c r="N1200" s="105"/>
      <c r="P1200" s="105"/>
    </row>
    <row r="1201" spans="2:16">
      <c r="B1201" s="107"/>
      <c r="C1201" s="105"/>
      <c r="D1201" s="105"/>
      <c r="E1201" s="105"/>
      <c r="F1201" s="105"/>
      <c r="G1201" s="105"/>
      <c r="H1201" s="105"/>
      <c r="I1201" s="105"/>
      <c r="J1201" s="105"/>
      <c r="K1201" s="105"/>
      <c r="L1201" s="105"/>
      <c r="N1201" s="105"/>
      <c r="P1201" s="105"/>
    </row>
    <row r="1202" spans="2:16">
      <c r="B1202" s="107"/>
      <c r="C1202" s="105"/>
      <c r="D1202" s="105"/>
      <c r="E1202" s="105"/>
      <c r="F1202" s="105"/>
      <c r="G1202" s="105"/>
      <c r="H1202" s="105"/>
      <c r="I1202" s="105"/>
      <c r="J1202" s="105"/>
      <c r="K1202" s="105"/>
      <c r="L1202" s="105"/>
      <c r="N1202" s="105"/>
      <c r="P1202" s="105"/>
    </row>
    <row r="1203" spans="2:16">
      <c r="B1203" s="107"/>
      <c r="C1203" s="105"/>
      <c r="D1203" s="105"/>
      <c r="E1203" s="105"/>
      <c r="F1203" s="105"/>
      <c r="G1203" s="105"/>
      <c r="H1203" s="105"/>
      <c r="I1203" s="105"/>
      <c r="J1203" s="105"/>
      <c r="K1203" s="105"/>
      <c r="L1203" s="105"/>
      <c r="N1203" s="105"/>
      <c r="P1203" s="105"/>
    </row>
    <row r="1204" spans="2:16">
      <c r="B1204" s="107"/>
      <c r="C1204" s="105"/>
      <c r="D1204" s="105"/>
      <c r="E1204" s="105"/>
      <c r="F1204" s="105"/>
      <c r="G1204" s="105"/>
      <c r="H1204" s="105"/>
      <c r="I1204" s="105"/>
      <c r="J1204" s="105"/>
      <c r="K1204" s="105"/>
      <c r="L1204" s="105"/>
      <c r="N1204" s="105"/>
      <c r="P1204" s="105"/>
    </row>
    <row r="1205" spans="2:16">
      <c r="B1205" s="107"/>
      <c r="C1205" s="105"/>
      <c r="D1205" s="105"/>
      <c r="E1205" s="105"/>
      <c r="F1205" s="105"/>
      <c r="G1205" s="105"/>
      <c r="H1205" s="105"/>
      <c r="I1205" s="105"/>
      <c r="J1205" s="105"/>
      <c r="K1205" s="105"/>
      <c r="L1205" s="105"/>
      <c r="N1205" s="105"/>
      <c r="P1205" s="105"/>
    </row>
    <row r="1206" spans="2:16">
      <c r="B1206" s="107"/>
      <c r="C1206" s="105"/>
      <c r="D1206" s="105"/>
      <c r="E1206" s="105"/>
      <c r="F1206" s="105"/>
      <c r="G1206" s="105"/>
      <c r="H1206" s="105"/>
      <c r="I1206" s="105"/>
      <c r="J1206" s="105"/>
      <c r="K1206" s="105"/>
      <c r="L1206" s="105"/>
      <c r="N1206" s="105"/>
      <c r="P1206" s="105"/>
    </row>
    <row r="1207" spans="2:16">
      <c r="B1207" s="107"/>
      <c r="C1207" s="105"/>
      <c r="D1207" s="105"/>
      <c r="E1207" s="105"/>
      <c r="F1207" s="105"/>
      <c r="G1207" s="105"/>
      <c r="H1207" s="105"/>
      <c r="I1207" s="105"/>
      <c r="J1207" s="105"/>
      <c r="K1207" s="105"/>
      <c r="L1207" s="105"/>
      <c r="N1207" s="105"/>
      <c r="P1207" s="105"/>
    </row>
    <row r="1208" spans="2:16">
      <c r="B1208" s="107"/>
      <c r="C1208" s="105"/>
      <c r="D1208" s="105"/>
      <c r="E1208" s="105"/>
      <c r="F1208" s="105"/>
      <c r="G1208" s="105"/>
      <c r="H1208" s="105"/>
      <c r="I1208" s="105"/>
      <c r="J1208" s="105"/>
      <c r="K1208" s="105"/>
      <c r="L1208" s="105"/>
      <c r="N1208" s="105"/>
      <c r="P1208" s="105"/>
    </row>
    <row r="1209" spans="2:16">
      <c r="B1209" s="107"/>
      <c r="C1209" s="105"/>
      <c r="D1209" s="105"/>
      <c r="E1209" s="105"/>
      <c r="F1209" s="105"/>
      <c r="G1209" s="105"/>
      <c r="H1209" s="105"/>
      <c r="I1209" s="105"/>
      <c r="J1209" s="105"/>
      <c r="K1209" s="105"/>
      <c r="L1209" s="105"/>
      <c r="N1209" s="105"/>
      <c r="P1209" s="105"/>
    </row>
    <row r="1210" spans="2:16">
      <c r="B1210" s="107"/>
      <c r="C1210" s="105"/>
      <c r="D1210" s="105"/>
      <c r="E1210" s="105"/>
      <c r="F1210" s="105"/>
      <c r="G1210" s="105"/>
      <c r="H1210" s="105"/>
      <c r="I1210" s="105"/>
      <c r="J1210" s="105"/>
      <c r="K1210" s="105"/>
      <c r="L1210" s="105"/>
      <c r="N1210" s="105"/>
      <c r="P1210" s="105"/>
    </row>
    <row r="1211" spans="2:16">
      <c r="B1211" s="107"/>
      <c r="C1211" s="105"/>
      <c r="D1211" s="105"/>
      <c r="E1211" s="105"/>
      <c r="F1211" s="105"/>
      <c r="G1211" s="105"/>
      <c r="H1211" s="105"/>
      <c r="I1211" s="105"/>
      <c r="J1211" s="105"/>
      <c r="K1211" s="105"/>
      <c r="L1211" s="105"/>
      <c r="N1211" s="105"/>
      <c r="P1211" s="105"/>
    </row>
    <row r="1212" spans="2:16">
      <c r="B1212" s="107"/>
      <c r="C1212" s="105"/>
      <c r="D1212" s="105"/>
      <c r="E1212" s="105"/>
      <c r="F1212" s="105"/>
      <c r="G1212" s="105"/>
      <c r="H1212" s="105"/>
      <c r="I1212" s="105"/>
      <c r="J1212" s="105"/>
      <c r="K1212" s="105"/>
      <c r="L1212" s="105"/>
      <c r="N1212" s="105"/>
      <c r="P1212" s="105"/>
    </row>
    <row r="1213" spans="2:16">
      <c r="B1213" s="107"/>
      <c r="C1213" s="105"/>
      <c r="D1213" s="105"/>
      <c r="E1213" s="105"/>
      <c r="F1213" s="105"/>
      <c r="G1213" s="105"/>
      <c r="H1213" s="105"/>
      <c r="I1213" s="105"/>
      <c r="J1213" s="105"/>
      <c r="K1213" s="105"/>
      <c r="L1213" s="105"/>
      <c r="N1213" s="105"/>
      <c r="P1213" s="105"/>
    </row>
    <row r="1214" spans="2:16">
      <c r="B1214" s="107"/>
      <c r="C1214" s="105"/>
      <c r="D1214" s="105"/>
      <c r="E1214" s="105"/>
      <c r="F1214" s="105"/>
      <c r="G1214" s="105"/>
      <c r="H1214" s="105"/>
      <c r="I1214" s="105"/>
      <c r="J1214" s="105"/>
      <c r="K1214" s="105"/>
      <c r="L1214" s="105"/>
      <c r="N1214" s="105"/>
      <c r="P1214" s="105"/>
    </row>
    <row r="1215" spans="2:16">
      <c r="B1215" s="107"/>
      <c r="C1215" s="105"/>
      <c r="D1215" s="105"/>
      <c r="E1215" s="105"/>
      <c r="F1215" s="105"/>
      <c r="G1215" s="105"/>
      <c r="H1215" s="105"/>
      <c r="I1215" s="105"/>
      <c r="J1215" s="105"/>
      <c r="K1215" s="105"/>
      <c r="L1215" s="105"/>
      <c r="N1215" s="105"/>
      <c r="P1215" s="105"/>
    </row>
    <row r="1216" spans="2:16">
      <c r="B1216" s="107"/>
      <c r="C1216" s="105"/>
      <c r="D1216" s="105"/>
      <c r="E1216" s="105"/>
      <c r="F1216" s="105"/>
      <c r="G1216" s="105"/>
      <c r="H1216" s="105"/>
      <c r="I1216" s="105"/>
      <c r="J1216" s="105"/>
      <c r="K1216" s="105"/>
      <c r="L1216" s="105"/>
      <c r="N1216" s="105"/>
      <c r="P1216" s="105"/>
    </row>
    <row r="1217" spans="2:16">
      <c r="B1217" s="107"/>
      <c r="C1217" s="105"/>
      <c r="D1217" s="105"/>
      <c r="E1217" s="105"/>
      <c r="F1217" s="105"/>
      <c r="G1217" s="105"/>
      <c r="H1217" s="105"/>
      <c r="I1217" s="105"/>
      <c r="J1217" s="105"/>
      <c r="K1217" s="105"/>
      <c r="L1217" s="105"/>
      <c r="N1217" s="105"/>
      <c r="P1217" s="105"/>
    </row>
    <row r="1218" spans="2:16">
      <c r="I1218" s="105"/>
      <c r="J1218" s="105"/>
    </row>
  </sheetData>
  <mergeCells count="13">
    <mergeCell ref="B20:I21"/>
    <mergeCell ref="D23:E24"/>
    <mergeCell ref="I48:J48"/>
    <mergeCell ref="I51:J51"/>
    <mergeCell ref="I120:J120"/>
    <mergeCell ref="I123:J123"/>
    <mergeCell ref="D331:L332"/>
    <mergeCell ref="G223:H223"/>
    <mergeCell ref="G242:H242"/>
    <mergeCell ref="D275:J276"/>
    <mergeCell ref="D302:J302"/>
    <mergeCell ref="D304:J305"/>
    <mergeCell ref="D326:L327"/>
  </mergeCells>
  <printOptions horizontalCentered="1"/>
  <pageMargins left="0.25" right="0.25" top="1" bottom="1" header="0.65" footer="0.25"/>
  <pageSetup fitToHeight="0" orientation="portrait" horizontalDpi="1200" verticalDpi="1200" r:id="rId1"/>
  <headerFooter alignWithMargins="0">
    <oddHeader xml:space="preserve">&amp;R&amp;16AEPTCo - SPP Formula Rate
&amp;A - True-Up
Page: &amp;P of &amp;N
</oddHeader>
    <oddFooter>&amp;R &amp;C&amp;"Calibri,Regular"&amp;11&amp;B&amp;K000000AEP CONFIDENTIAL</oddFooter>
    <evenFooter>&amp;C&amp;"Calibri,Regular"&amp;11&amp;B&amp;K000000AEP CONFIDENTIAL</evenFooter>
    <firstFooter>&amp;C&amp;"Calibri,Regular"&amp;11&amp;B&amp;K000000AEP CONFIDENTIAL</firstFooter>
  </headerFooter>
  <rowBreaks count="4" manualBreakCount="4">
    <brk id="39" max="11" man="1"/>
    <brk id="112" max="11" man="1"/>
    <brk id="184" max="11" man="1"/>
    <brk id="249"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1218"/>
  <sheetViews>
    <sheetView zoomScale="70" zoomScaleNormal="70" zoomScaleSheetLayoutView="75" workbookViewId="0">
      <selection activeCell="G39" sqref="G39"/>
    </sheetView>
  </sheetViews>
  <sheetFormatPr defaultColWidth="11.42578125" defaultRowHeight="15"/>
  <cols>
    <col min="1" max="1" width="4.7109375" style="104" customWidth="1"/>
    <col min="2" max="2" width="7.85546875" style="106" customWidth="1"/>
    <col min="3" max="3" width="1.85546875" style="104" customWidth="1"/>
    <col min="4" max="4" width="56" style="104" customWidth="1"/>
    <col min="5" max="5" width="37.28515625" style="104" customWidth="1"/>
    <col min="6" max="6" width="26.140625" style="104" customWidth="1"/>
    <col min="7" max="7" width="20.7109375" style="104" customWidth="1"/>
    <col min="8" max="8" width="18.85546875" style="104" customWidth="1"/>
    <col min="9" max="9" width="9.85546875" style="104" customWidth="1"/>
    <col min="10" max="10" width="21.85546875" style="104" bestFit="1" customWidth="1"/>
    <col min="11" max="11" width="4.7109375" style="104" customWidth="1"/>
    <col min="12" max="12" width="21.140625" style="104" customWidth="1"/>
    <col min="13" max="13" width="19.42578125" style="105" customWidth="1"/>
    <col min="14" max="14" width="28.85546875" style="104" bestFit="1" customWidth="1"/>
    <col min="15" max="15" width="3.140625" style="104" customWidth="1"/>
    <col min="16" max="16" width="21.85546875" style="104" customWidth="1"/>
    <col min="17" max="17" width="11.42578125" style="104" customWidth="1"/>
    <col min="18" max="18" width="20.5703125" style="104" bestFit="1" customWidth="1"/>
    <col min="19" max="256" width="11.42578125" style="104"/>
    <col min="257" max="257" width="4.7109375" style="104" customWidth="1"/>
    <col min="258" max="258" width="7.85546875" style="104" customWidth="1"/>
    <col min="259" max="259" width="1.85546875" style="104" customWidth="1"/>
    <col min="260" max="260" width="56" style="104" customWidth="1"/>
    <col min="261" max="261" width="37.28515625" style="104" customWidth="1"/>
    <col min="262" max="262" width="26.140625" style="104" customWidth="1"/>
    <col min="263" max="263" width="20.7109375" style="104" customWidth="1"/>
    <col min="264" max="264" width="18.85546875" style="104" customWidth="1"/>
    <col min="265" max="265" width="9.85546875" style="104" customWidth="1"/>
    <col min="266" max="266" width="21.85546875" style="104" bestFit="1" customWidth="1"/>
    <col min="267" max="267" width="4.7109375" style="104" customWidth="1"/>
    <col min="268" max="268" width="21.140625" style="104" customWidth="1"/>
    <col min="269" max="269" width="19.42578125" style="104" customWidth="1"/>
    <col min="270" max="270" width="28.85546875" style="104" bestFit="1" customWidth="1"/>
    <col min="271" max="271" width="3.140625" style="104" customWidth="1"/>
    <col min="272" max="272" width="21.85546875" style="104" customWidth="1"/>
    <col min="273" max="273" width="11.42578125" style="104" customWidth="1"/>
    <col min="274" max="274" width="20.5703125" style="104" bestFit="1" customWidth="1"/>
    <col min="275" max="512" width="11.42578125" style="104"/>
    <col min="513" max="513" width="4.7109375" style="104" customWidth="1"/>
    <col min="514" max="514" width="7.85546875" style="104" customWidth="1"/>
    <col min="515" max="515" width="1.85546875" style="104" customWidth="1"/>
    <col min="516" max="516" width="56" style="104" customWidth="1"/>
    <col min="517" max="517" width="37.28515625" style="104" customWidth="1"/>
    <col min="518" max="518" width="26.140625" style="104" customWidth="1"/>
    <col min="519" max="519" width="20.7109375" style="104" customWidth="1"/>
    <col min="520" max="520" width="18.85546875" style="104" customWidth="1"/>
    <col min="521" max="521" width="9.85546875" style="104" customWidth="1"/>
    <col min="522" max="522" width="21.85546875" style="104" bestFit="1" customWidth="1"/>
    <col min="523" max="523" width="4.7109375" style="104" customWidth="1"/>
    <col min="524" max="524" width="21.140625" style="104" customWidth="1"/>
    <col min="525" max="525" width="19.42578125" style="104" customWidth="1"/>
    <col min="526" max="526" width="28.85546875" style="104" bestFit="1" customWidth="1"/>
    <col min="527" max="527" width="3.140625" style="104" customWidth="1"/>
    <col min="528" max="528" width="21.85546875" style="104" customWidth="1"/>
    <col min="529" max="529" width="11.42578125" style="104" customWidth="1"/>
    <col min="530" max="530" width="20.5703125" style="104" bestFit="1" customWidth="1"/>
    <col min="531" max="768" width="11.42578125" style="104"/>
    <col min="769" max="769" width="4.7109375" style="104" customWidth="1"/>
    <col min="770" max="770" width="7.85546875" style="104" customWidth="1"/>
    <col min="771" max="771" width="1.85546875" style="104" customWidth="1"/>
    <col min="772" max="772" width="56" style="104" customWidth="1"/>
    <col min="773" max="773" width="37.28515625" style="104" customWidth="1"/>
    <col min="774" max="774" width="26.140625" style="104" customWidth="1"/>
    <col min="775" max="775" width="20.7109375" style="104" customWidth="1"/>
    <col min="776" max="776" width="18.85546875" style="104" customWidth="1"/>
    <col min="777" max="777" width="9.85546875" style="104" customWidth="1"/>
    <col min="778" max="778" width="21.85546875" style="104" bestFit="1" customWidth="1"/>
    <col min="779" max="779" width="4.7109375" style="104" customWidth="1"/>
    <col min="780" max="780" width="21.140625" style="104" customWidth="1"/>
    <col min="781" max="781" width="19.42578125" style="104" customWidth="1"/>
    <col min="782" max="782" width="28.85546875" style="104" bestFit="1" customWidth="1"/>
    <col min="783" max="783" width="3.140625" style="104" customWidth="1"/>
    <col min="784" max="784" width="21.85546875" style="104" customWidth="1"/>
    <col min="785" max="785" width="11.42578125" style="104" customWidth="1"/>
    <col min="786" max="786" width="20.5703125" style="104" bestFit="1" customWidth="1"/>
    <col min="787" max="1024" width="11.42578125" style="104"/>
    <col min="1025" max="1025" width="4.7109375" style="104" customWidth="1"/>
    <col min="1026" max="1026" width="7.85546875" style="104" customWidth="1"/>
    <col min="1027" max="1027" width="1.85546875" style="104" customWidth="1"/>
    <col min="1028" max="1028" width="56" style="104" customWidth="1"/>
    <col min="1029" max="1029" width="37.28515625" style="104" customWidth="1"/>
    <col min="1030" max="1030" width="26.140625" style="104" customWidth="1"/>
    <col min="1031" max="1031" width="20.7109375" style="104" customWidth="1"/>
    <col min="1032" max="1032" width="18.85546875" style="104" customWidth="1"/>
    <col min="1033" max="1033" width="9.85546875" style="104" customWidth="1"/>
    <col min="1034" max="1034" width="21.85546875" style="104" bestFit="1" customWidth="1"/>
    <col min="1035" max="1035" width="4.7109375" style="104" customWidth="1"/>
    <col min="1036" max="1036" width="21.140625" style="104" customWidth="1"/>
    <col min="1037" max="1037" width="19.42578125" style="104" customWidth="1"/>
    <col min="1038" max="1038" width="28.85546875" style="104" bestFit="1" customWidth="1"/>
    <col min="1039" max="1039" width="3.140625" style="104" customWidth="1"/>
    <col min="1040" max="1040" width="21.85546875" style="104" customWidth="1"/>
    <col min="1041" max="1041" width="11.42578125" style="104" customWidth="1"/>
    <col min="1042" max="1042" width="20.5703125" style="104" bestFit="1" customWidth="1"/>
    <col min="1043" max="1280" width="11.42578125" style="104"/>
    <col min="1281" max="1281" width="4.7109375" style="104" customWidth="1"/>
    <col min="1282" max="1282" width="7.85546875" style="104" customWidth="1"/>
    <col min="1283" max="1283" width="1.85546875" style="104" customWidth="1"/>
    <col min="1284" max="1284" width="56" style="104" customWidth="1"/>
    <col min="1285" max="1285" width="37.28515625" style="104" customWidth="1"/>
    <col min="1286" max="1286" width="26.140625" style="104" customWidth="1"/>
    <col min="1287" max="1287" width="20.7109375" style="104" customWidth="1"/>
    <col min="1288" max="1288" width="18.85546875" style="104" customWidth="1"/>
    <col min="1289" max="1289" width="9.85546875" style="104" customWidth="1"/>
    <col min="1290" max="1290" width="21.85546875" style="104" bestFit="1" customWidth="1"/>
    <col min="1291" max="1291" width="4.7109375" style="104" customWidth="1"/>
    <col min="1292" max="1292" width="21.140625" style="104" customWidth="1"/>
    <col min="1293" max="1293" width="19.42578125" style="104" customWidth="1"/>
    <col min="1294" max="1294" width="28.85546875" style="104" bestFit="1" customWidth="1"/>
    <col min="1295" max="1295" width="3.140625" style="104" customWidth="1"/>
    <col min="1296" max="1296" width="21.85546875" style="104" customWidth="1"/>
    <col min="1297" max="1297" width="11.42578125" style="104" customWidth="1"/>
    <col min="1298" max="1298" width="20.5703125" style="104" bestFit="1" customWidth="1"/>
    <col min="1299" max="1536" width="11.42578125" style="104"/>
    <col min="1537" max="1537" width="4.7109375" style="104" customWidth="1"/>
    <col min="1538" max="1538" width="7.85546875" style="104" customWidth="1"/>
    <col min="1539" max="1539" width="1.85546875" style="104" customWidth="1"/>
    <col min="1540" max="1540" width="56" style="104" customWidth="1"/>
    <col min="1541" max="1541" width="37.28515625" style="104" customWidth="1"/>
    <col min="1542" max="1542" width="26.140625" style="104" customWidth="1"/>
    <col min="1543" max="1543" width="20.7109375" style="104" customWidth="1"/>
    <col min="1544" max="1544" width="18.85546875" style="104" customWidth="1"/>
    <col min="1545" max="1545" width="9.85546875" style="104" customWidth="1"/>
    <col min="1546" max="1546" width="21.85546875" style="104" bestFit="1" customWidth="1"/>
    <col min="1547" max="1547" width="4.7109375" style="104" customWidth="1"/>
    <col min="1548" max="1548" width="21.140625" style="104" customWidth="1"/>
    <col min="1549" max="1549" width="19.42578125" style="104" customWidth="1"/>
    <col min="1550" max="1550" width="28.85546875" style="104" bestFit="1" customWidth="1"/>
    <col min="1551" max="1551" width="3.140625" style="104" customWidth="1"/>
    <col min="1552" max="1552" width="21.85546875" style="104" customWidth="1"/>
    <col min="1553" max="1553" width="11.42578125" style="104" customWidth="1"/>
    <col min="1554" max="1554" width="20.5703125" style="104" bestFit="1" customWidth="1"/>
    <col min="1555" max="1792" width="11.42578125" style="104"/>
    <col min="1793" max="1793" width="4.7109375" style="104" customWidth="1"/>
    <col min="1794" max="1794" width="7.85546875" style="104" customWidth="1"/>
    <col min="1795" max="1795" width="1.85546875" style="104" customWidth="1"/>
    <col min="1796" max="1796" width="56" style="104" customWidth="1"/>
    <col min="1797" max="1797" width="37.28515625" style="104" customWidth="1"/>
    <col min="1798" max="1798" width="26.140625" style="104" customWidth="1"/>
    <col min="1799" max="1799" width="20.7109375" style="104" customWidth="1"/>
    <col min="1800" max="1800" width="18.85546875" style="104" customWidth="1"/>
    <col min="1801" max="1801" width="9.85546875" style="104" customWidth="1"/>
    <col min="1802" max="1802" width="21.85546875" style="104" bestFit="1" customWidth="1"/>
    <col min="1803" max="1803" width="4.7109375" style="104" customWidth="1"/>
    <col min="1804" max="1804" width="21.140625" style="104" customWidth="1"/>
    <col min="1805" max="1805" width="19.42578125" style="104" customWidth="1"/>
    <col min="1806" max="1806" width="28.85546875" style="104" bestFit="1" customWidth="1"/>
    <col min="1807" max="1807" width="3.140625" style="104" customWidth="1"/>
    <col min="1808" max="1808" width="21.85546875" style="104" customWidth="1"/>
    <col min="1809" max="1809" width="11.42578125" style="104" customWidth="1"/>
    <col min="1810" max="1810" width="20.5703125" style="104" bestFit="1" customWidth="1"/>
    <col min="1811" max="2048" width="11.42578125" style="104"/>
    <col min="2049" max="2049" width="4.7109375" style="104" customWidth="1"/>
    <col min="2050" max="2050" width="7.85546875" style="104" customWidth="1"/>
    <col min="2051" max="2051" width="1.85546875" style="104" customWidth="1"/>
    <col min="2052" max="2052" width="56" style="104" customWidth="1"/>
    <col min="2053" max="2053" width="37.28515625" style="104" customWidth="1"/>
    <col min="2054" max="2054" width="26.140625" style="104" customWidth="1"/>
    <col min="2055" max="2055" width="20.7109375" style="104" customWidth="1"/>
    <col min="2056" max="2056" width="18.85546875" style="104" customWidth="1"/>
    <col min="2057" max="2057" width="9.85546875" style="104" customWidth="1"/>
    <col min="2058" max="2058" width="21.85546875" style="104" bestFit="1" customWidth="1"/>
    <col min="2059" max="2059" width="4.7109375" style="104" customWidth="1"/>
    <col min="2060" max="2060" width="21.140625" style="104" customWidth="1"/>
    <col min="2061" max="2061" width="19.42578125" style="104" customWidth="1"/>
    <col min="2062" max="2062" width="28.85546875" style="104" bestFit="1" customWidth="1"/>
    <col min="2063" max="2063" width="3.140625" style="104" customWidth="1"/>
    <col min="2064" max="2064" width="21.85546875" style="104" customWidth="1"/>
    <col min="2065" max="2065" width="11.42578125" style="104" customWidth="1"/>
    <col min="2066" max="2066" width="20.5703125" style="104" bestFit="1" customWidth="1"/>
    <col min="2067" max="2304" width="11.42578125" style="104"/>
    <col min="2305" max="2305" width="4.7109375" style="104" customWidth="1"/>
    <col min="2306" max="2306" width="7.85546875" style="104" customWidth="1"/>
    <col min="2307" max="2307" width="1.85546875" style="104" customWidth="1"/>
    <col min="2308" max="2308" width="56" style="104" customWidth="1"/>
    <col min="2309" max="2309" width="37.28515625" style="104" customWidth="1"/>
    <col min="2310" max="2310" width="26.140625" style="104" customWidth="1"/>
    <col min="2311" max="2311" width="20.7109375" style="104" customWidth="1"/>
    <col min="2312" max="2312" width="18.85546875" style="104" customWidth="1"/>
    <col min="2313" max="2313" width="9.85546875" style="104" customWidth="1"/>
    <col min="2314" max="2314" width="21.85546875" style="104" bestFit="1" customWidth="1"/>
    <col min="2315" max="2315" width="4.7109375" style="104" customWidth="1"/>
    <col min="2316" max="2316" width="21.140625" style="104" customWidth="1"/>
    <col min="2317" max="2317" width="19.42578125" style="104" customWidth="1"/>
    <col min="2318" max="2318" width="28.85546875" style="104" bestFit="1" customWidth="1"/>
    <col min="2319" max="2319" width="3.140625" style="104" customWidth="1"/>
    <col min="2320" max="2320" width="21.85546875" style="104" customWidth="1"/>
    <col min="2321" max="2321" width="11.42578125" style="104" customWidth="1"/>
    <col min="2322" max="2322" width="20.5703125" style="104" bestFit="1" customWidth="1"/>
    <col min="2323" max="2560" width="11.42578125" style="104"/>
    <col min="2561" max="2561" width="4.7109375" style="104" customWidth="1"/>
    <col min="2562" max="2562" width="7.85546875" style="104" customWidth="1"/>
    <col min="2563" max="2563" width="1.85546875" style="104" customWidth="1"/>
    <col min="2564" max="2564" width="56" style="104" customWidth="1"/>
    <col min="2565" max="2565" width="37.28515625" style="104" customWidth="1"/>
    <col min="2566" max="2566" width="26.140625" style="104" customWidth="1"/>
    <col min="2567" max="2567" width="20.7109375" style="104" customWidth="1"/>
    <col min="2568" max="2568" width="18.85546875" style="104" customWidth="1"/>
    <col min="2569" max="2569" width="9.85546875" style="104" customWidth="1"/>
    <col min="2570" max="2570" width="21.85546875" style="104" bestFit="1" customWidth="1"/>
    <col min="2571" max="2571" width="4.7109375" style="104" customWidth="1"/>
    <col min="2572" max="2572" width="21.140625" style="104" customWidth="1"/>
    <col min="2573" max="2573" width="19.42578125" style="104" customWidth="1"/>
    <col min="2574" max="2574" width="28.85546875" style="104" bestFit="1" customWidth="1"/>
    <col min="2575" max="2575" width="3.140625" style="104" customWidth="1"/>
    <col min="2576" max="2576" width="21.85546875" style="104" customWidth="1"/>
    <col min="2577" max="2577" width="11.42578125" style="104" customWidth="1"/>
    <col min="2578" max="2578" width="20.5703125" style="104" bestFit="1" customWidth="1"/>
    <col min="2579" max="2816" width="11.42578125" style="104"/>
    <col min="2817" max="2817" width="4.7109375" style="104" customWidth="1"/>
    <col min="2818" max="2818" width="7.85546875" style="104" customWidth="1"/>
    <col min="2819" max="2819" width="1.85546875" style="104" customWidth="1"/>
    <col min="2820" max="2820" width="56" style="104" customWidth="1"/>
    <col min="2821" max="2821" width="37.28515625" style="104" customWidth="1"/>
    <col min="2822" max="2822" width="26.140625" style="104" customWidth="1"/>
    <col min="2823" max="2823" width="20.7109375" style="104" customWidth="1"/>
    <col min="2824" max="2824" width="18.85546875" style="104" customWidth="1"/>
    <col min="2825" max="2825" width="9.85546875" style="104" customWidth="1"/>
    <col min="2826" max="2826" width="21.85546875" style="104" bestFit="1" customWidth="1"/>
    <col min="2827" max="2827" width="4.7109375" style="104" customWidth="1"/>
    <col min="2828" max="2828" width="21.140625" style="104" customWidth="1"/>
    <col min="2829" max="2829" width="19.42578125" style="104" customWidth="1"/>
    <col min="2830" max="2830" width="28.85546875" style="104" bestFit="1" customWidth="1"/>
    <col min="2831" max="2831" width="3.140625" style="104" customWidth="1"/>
    <col min="2832" max="2832" width="21.85546875" style="104" customWidth="1"/>
    <col min="2833" max="2833" width="11.42578125" style="104" customWidth="1"/>
    <col min="2834" max="2834" width="20.5703125" style="104" bestFit="1" customWidth="1"/>
    <col min="2835" max="3072" width="11.42578125" style="104"/>
    <col min="3073" max="3073" width="4.7109375" style="104" customWidth="1"/>
    <col min="3074" max="3074" width="7.85546875" style="104" customWidth="1"/>
    <col min="3075" max="3075" width="1.85546875" style="104" customWidth="1"/>
    <col min="3076" max="3076" width="56" style="104" customWidth="1"/>
    <col min="3077" max="3077" width="37.28515625" style="104" customWidth="1"/>
    <col min="3078" max="3078" width="26.140625" style="104" customWidth="1"/>
    <col min="3079" max="3079" width="20.7109375" style="104" customWidth="1"/>
    <col min="3080" max="3080" width="18.85546875" style="104" customWidth="1"/>
    <col min="3081" max="3081" width="9.85546875" style="104" customWidth="1"/>
    <col min="3082" max="3082" width="21.85546875" style="104" bestFit="1" customWidth="1"/>
    <col min="3083" max="3083" width="4.7109375" style="104" customWidth="1"/>
    <col min="3084" max="3084" width="21.140625" style="104" customWidth="1"/>
    <col min="3085" max="3085" width="19.42578125" style="104" customWidth="1"/>
    <col min="3086" max="3086" width="28.85546875" style="104" bestFit="1" customWidth="1"/>
    <col min="3087" max="3087" width="3.140625" style="104" customWidth="1"/>
    <col min="3088" max="3088" width="21.85546875" style="104" customWidth="1"/>
    <col min="3089" max="3089" width="11.42578125" style="104" customWidth="1"/>
    <col min="3090" max="3090" width="20.5703125" style="104" bestFit="1" customWidth="1"/>
    <col min="3091" max="3328" width="11.42578125" style="104"/>
    <col min="3329" max="3329" width="4.7109375" style="104" customWidth="1"/>
    <col min="3330" max="3330" width="7.85546875" style="104" customWidth="1"/>
    <col min="3331" max="3331" width="1.85546875" style="104" customWidth="1"/>
    <col min="3332" max="3332" width="56" style="104" customWidth="1"/>
    <col min="3333" max="3333" width="37.28515625" style="104" customWidth="1"/>
    <col min="3334" max="3334" width="26.140625" style="104" customWidth="1"/>
    <col min="3335" max="3335" width="20.7109375" style="104" customWidth="1"/>
    <col min="3336" max="3336" width="18.85546875" style="104" customWidth="1"/>
    <col min="3337" max="3337" width="9.85546875" style="104" customWidth="1"/>
    <col min="3338" max="3338" width="21.85546875" style="104" bestFit="1" customWidth="1"/>
    <col min="3339" max="3339" width="4.7109375" style="104" customWidth="1"/>
    <col min="3340" max="3340" width="21.140625" style="104" customWidth="1"/>
    <col min="3341" max="3341" width="19.42578125" style="104" customWidth="1"/>
    <col min="3342" max="3342" width="28.85546875" style="104" bestFit="1" customWidth="1"/>
    <col min="3343" max="3343" width="3.140625" style="104" customWidth="1"/>
    <col min="3344" max="3344" width="21.85546875" style="104" customWidth="1"/>
    <col min="3345" max="3345" width="11.42578125" style="104" customWidth="1"/>
    <col min="3346" max="3346" width="20.5703125" style="104" bestFit="1" customWidth="1"/>
    <col min="3347" max="3584" width="11.42578125" style="104"/>
    <col min="3585" max="3585" width="4.7109375" style="104" customWidth="1"/>
    <col min="3586" max="3586" width="7.85546875" style="104" customWidth="1"/>
    <col min="3587" max="3587" width="1.85546875" style="104" customWidth="1"/>
    <col min="3588" max="3588" width="56" style="104" customWidth="1"/>
    <col min="3589" max="3589" width="37.28515625" style="104" customWidth="1"/>
    <col min="3590" max="3590" width="26.140625" style="104" customWidth="1"/>
    <col min="3591" max="3591" width="20.7109375" style="104" customWidth="1"/>
    <col min="3592" max="3592" width="18.85546875" style="104" customWidth="1"/>
    <col min="3593" max="3593" width="9.85546875" style="104" customWidth="1"/>
    <col min="3594" max="3594" width="21.85546875" style="104" bestFit="1" customWidth="1"/>
    <col min="3595" max="3595" width="4.7109375" style="104" customWidth="1"/>
    <col min="3596" max="3596" width="21.140625" style="104" customWidth="1"/>
    <col min="3597" max="3597" width="19.42578125" style="104" customWidth="1"/>
    <col min="3598" max="3598" width="28.85546875" style="104" bestFit="1" customWidth="1"/>
    <col min="3599" max="3599" width="3.140625" style="104" customWidth="1"/>
    <col min="3600" max="3600" width="21.85546875" style="104" customWidth="1"/>
    <col min="3601" max="3601" width="11.42578125" style="104" customWidth="1"/>
    <col min="3602" max="3602" width="20.5703125" style="104" bestFit="1" customWidth="1"/>
    <col min="3603" max="3840" width="11.42578125" style="104"/>
    <col min="3841" max="3841" width="4.7109375" style="104" customWidth="1"/>
    <col min="3842" max="3842" width="7.85546875" style="104" customWidth="1"/>
    <col min="3843" max="3843" width="1.85546875" style="104" customWidth="1"/>
    <col min="3844" max="3844" width="56" style="104" customWidth="1"/>
    <col min="3845" max="3845" width="37.28515625" style="104" customWidth="1"/>
    <col min="3846" max="3846" width="26.140625" style="104" customWidth="1"/>
    <col min="3847" max="3847" width="20.7109375" style="104" customWidth="1"/>
    <col min="3848" max="3848" width="18.85546875" style="104" customWidth="1"/>
    <col min="3849" max="3849" width="9.85546875" style="104" customWidth="1"/>
    <col min="3850" max="3850" width="21.85546875" style="104" bestFit="1" customWidth="1"/>
    <col min="3851" max="3851" width="4.7109375" style="104" customWidth="1"/>
    <col min="3852" max="3852" width="21.140625" style="104" customWidth="1"/>
    <col min="3853" max="3853" width="19.42578125" style="104" customWidth="1"/>
    <col min="3854" max="3854" width="28.85546875" style="104" bestFit="1" customWidth="1"/>
    <col min="3855" max="3855" width="3.140625" style="104" customWidth="1"/>
    <col min="3856" max="3856" width="21.85546875" style="104" customWidth="1"/>
    <col min="3857" max="3857" width="11.42578125" style="104" customWidth="1"/>
    <col min="3858" max="3858" width="20.5703125" style="104" bestFit="1" customWidth="1"/>
    <col min="3859" max="4096" width="11.42578125" style="104"/>
    <col min="4097" max="4097" width="4.7109375" style="104" customWidth="1"/>
    <col min="4098" max="4098" width="7.85546875" style="104" customWidth="1"/>
    <col min="4099" max="4099" width="1.85546875" style="104" customWidth="1"/>
    <col min="4100" max="4100" width="56" style="104" customWidth="1"/>
    <col min="4101" max="4101" width="37.28515625" style="104" customWidth="1"/>
    <col min="4102" max="4102" width="26.140625" style="104" customWidth="1"/>
    <col min="4103" max="4103" width="20.7109375" style="104" customWidth="1"/>
    <col min="4104" max="4104" width="18.85546875" style="104" customWidth="1"/>
    <col min="4105" max="4105" width="9.85546875" style="104" customWidth="1"/>
    <col min="4106" max="4106" width="21.85546875" style="104" bestFit="1" customWidth="1"/>
    <col min="4107" max="4107" width="4.7109375" style="104" customWidth="1"/>
    <col min="4108" max="4108" width="21.140625" style="104" customWidth="1"/>
    <col min="4109" max="4109" width="19.42578125" style="104" customWidth="1"/>
    <col min="4110" max="4110" width="28.85546875" style="104" bestFit="1" customWidth="1"/>
    <col min="4111" max="4111" width="3.140625" style="104" customWidth="1"/>
    <col min="4112" max="4112" width="21.85546875" style="104" customWidth="1"/>
    <col min="4113" max="4113" width="11.42578125" style="104" customWidth="1"/>
    <col min="4114" max="4114" width="20.5703125" style="104" bestFit="1" customWidth="1"/>
    <col min="4115" max="4352" width="11.42578125" style="104"/>
    <col min="4353" max="4353" width="4.7109375" style="104" customWidth="1"/>
    <col min="4354" max="4354" width="7.85546875" style="104" customWidth="1"/>
    <col min="4355" max="4355" width="1.85546875" style="104" customWidth="1"/>
    <col min="4356" max="4356" width="56" style="104" customWidth="1"/>
    <col min="4357" max="4357" width="37.28515625" style="104" customWidth="1"/>
    <col min="4358" max="4358" width="26.140625" style="104" customWidth="1"/>
    <col min="4359" max="4359" width="20.7109375" style="104" customWidth="1"/>
    <col min="4360" max="4360" width="18.85546875" style="104" customWidth="1"/>
    <col min="4361" max="4361" width="9.85546875" style="104" customWidth="1"/>
    <col min="4362" max="4362" width="21.85546875" style="104" bestFit="1" customWidth="1"/>
    <col min="4363" max="4363" width="4.7109375" style="104" customWidth="1"/>
    <col min="4364" max="4364" width="21.140625" style="104" customWidth="1"/>
    <col min="4365" max="4365" width="19.42578125" style="104" customWidth="1"/>
    <col min="4366" max="4366" width="28.85546875" style="104" bestFit="1" customWidth="1"/>
    <col min="4367" max="4367" width="3.140625" style="104" customWidth="1"/>
    <col min="4368" max="4368" width="21.85546875" style="104" customWidth="1"/>
    <col min="4369" max="4369" width="11.42578125" style="104" customWidth="1"/>
    <col min="4370" max="4370" width="20.5703125" style="104" bestFit="1" customWidth="1"/>
    <col min="4371" max="4608" width="11.42578125" style="104"/>
    <col min="4609" max="4609" width="4.7109375" style="104" customWidth="1"/>
    <col min="4610" max="4610" width="7.85546875" style="104" customWidth="1"/>
    <col min="4611" max="4611" width="1.85546875" style="104" customWidth="1"/>
    <col min="4612" max="4612" width="56" style="104" customWidth="1"/>
    <col min="4613" max="4613" width="37.28515625" style="104" customWidth="1"/>
    <col min="4614" max="4614" width="26.140625" style="104" customWidth="1"/>
    <col min="4615" max="4615" width="20.7109375" style="104" customWidth="1"/>
    <col min="4616" max="4616" width="18.85546875" style="104" customWidth="1"/>
    <col min="4617" max="4617" width="9.85546875" style="104" customWidth="1"/>
    <col min="4618" max="4618" width="21.85546875" style="104" bestFit="1" customWidth="1"/>
    <col min="4619" max="4619" width="4.7109375" style="104" customWidth="1"/>
    <col min="4620" max="4620" width="21.140625" style="104" customWidth="1"/>
    <col min="4621" max="4621" width="19.42578125" style="104" customWidth="1"/>
    <col min="4622" max="4622" width="28.85546875" style="104" bestFit="1" customWidth="1"/>
    <col min="4623" max="4623" width="3.140625" style="104" customWidth="1"/>
    <col min="4624" max="4624" width="21.85546875" style="104" customWidth="1"/>
    <col min="4625" max="4625" width="11.42578125" style="104" customWidth="1"/>
    <col min="4626" max="4626" width="20.5703125" style="104" bestFit="1" customWidth="1"/>
    <col min="4627" max="4864" width="11.42578125" style="104"/>
    <col min="4865" max="4865" width="4.7109375" style="104" customWidth="1"/>
    <col min="4866" max="4866" width="7.85546875" style="104" customWidth="1"/>
    <col min="4867" max="4867" width="1.85546875" style="104" customWidth="1"/>
    <col min="4868" max="4868" width="56" style="104" customWidth="1"/>
    <col min="4869" max="4869" width="37.28515625" style="104" customWidth="1"/>
    <col min="4870" max="4870" width="26.140625" style="104" customWidth="1"/>
    <col min="4871" max="4871" width="20.7109375" style="104" customWidth="1"/>
    <col min="4872" max="4872" width="18.85546875" style="104" customWidth="1"/>
    <col min="4873" max="4873" width="9.85546875" style="104" customWidth="1"/>
    <col min="4874" max="4874" width="21.85546875" style="104" bestFit="1" customWidth="1"/>
    <col min="4875" max="4875" width="4.7109375" style="104" customWidth="1"/>
    <col min="4876" max="4876" width="21.140625" style="104" customWidth="1"/>
    <col min="4877" max="4877" width="19.42578125" style="104" customWidth="1"/>
    <col min="4878" max="4878" width="28.85546875" style="104" bestFit="1" customWidth="1"/>
    <col min="4879" max="4879" width="3.140625" style="104" customWidth="1"/>
    <col min="4880" max="4880" width="21.85546875" style="104" customWidth="1"/>
    <col min="4881" max="4881" width="11.42578125" style="104" customWidth="1"/>
    <col min="4882" max="4882" width="20.5703125" style="104" bestFit="1" customWidth="1"/>
    <col min="4883" max="5120" width="11.42578125" style="104"/>
    <col min="5121" max="5121" width="4.7109375" style="104" customWidth="1"/>
    <col min="5122" max="5122" width="7.85546875" style="104" customWidth="1"/>
    <col min="5123" max="5123" width="1.85546875" style="104" customWidth="1"/>
    <col min="5124" max="5124" width="56" style="104" customWidth="1"/>
    <col min="5125" max="5125" width="37.28515625" style="104" customWidth="1"/>
    <col min="5126" max="5126" width="26.140625" style="104" customWidth="1"/>
    <col min="5127" max="5127" width="20.7109375" style="104" customWidth="1"/>
    <col min="5128" max="5128" width="18.85546875" style="104" customWidth="1"/>
    <col min="5129" max="5129" width="9.85546875" style="104" customWidth="1"/>
    <col min="5130" max="5130" width="21.85546875" style="104" bestFit="1" customWidth="1"/>
    <col min="5131" max="5131" width="4.7109375" style="104" customWidth="1"/>
    <col min="5132" max="5132" width="21.140625" style="104" customWidth="1"/>
    <col min="5133" max="5133" width="19.42578125" style="104" customWidth="1"/>
    <col min="5134" max="5134" width="28.85546875" style="104" bestFit="1" customWidth="1"/>
    <col min="5135" max="5135" width="3.140625" style="104" customWidth="1"/>
    <col min="5136" max="5136" width="21.85546875" style="104" customWidth="1"/>
    <col min="5137" max="5137" width="11.42578125" style="104" customWidth="1"/>
    <col min="5138" max="5138" width="20.5703125" style="104" bestFit="1" customWidth="1"/>
    <col min="5139" max="5376" width="11.42578125" style="104"/>
    <col min="5377" max="5377" width="4.7109375" style="104" customWidth="1"/>
    <col min="5378" max="5378" width="7.85546875" style="104" customWidth="1"/>
    <col min="5379" max="5379" width="1.85546875" style="104" customWidth="1"/>
    <col min="5380" max="5380" width="56" style="104" customWidth="1"/>
    <col min="5381" max="5381" width="37.28515625" style="104" customWidth="1"/>
    <col min="5382" max="5382" width="26.140625" style="104" customWidth="1"/>
    <col min="5383" max="5383" width="20.7109375" style="104" customWidth="1"/>
    <col min="5384" max="5384" width="18.85546875" style="104" customWidth="1"/>
    <col min="5385" max="5385" width="9.85546875" style="104" customWidth="1"/>
    <col min="5386" max="5386" width="21.85546875" style="104" bestFit="1" customWidth="1"/>
    <col min="5387" max="5387" width="4.7109375" style="104" customWidth="1"/>
    <col min="5388" max="5388" width="21.140625" style="104" customWidth="1"/>
    <col min="5389" max="5389" width="19.42578125" style="104" customWidth="1"/>
    <col min="5390" max="5390" width="28.85546875" style="104" bestFit="1" customWidth="1"/>
    <col min="5391" max="5391" width="3.140625" style="104" customWidth="1"/>
    <col min="5392" max="5392" width="21.85546875" style="104" customWidth="1"/>
    <col min="5393" max="5393" width="11.42578125" style="104" customWidth="1"/>
    <col min="5394" max="5394" width="20.5703125" style="104" bestFit="1" customWidth="1"/>
    <col min="5395" max="5632" width="11.42578125" style="104"/>
    <col min="5633" max="5633" width="4.7109375" style="104" customWidth="1"/>
    <col min="5634" max="5634" width="7.85546875" style="104" customWidth="1"/>
    <col min="5635" max="5635" width="1.85546875" style="104" customWidth="1"/>
    <col min="5636" max="5636" width="56" style="104" customWidth="1"/>
    <col min="5637" max="5637" width="37.28515625" style="104" customWidth="1"/>
    <col min="5638" max="5638" width="26.140625" style="104" customWidth="1"/>
    <col min="5639" max="5639" width="20.7109375" style="104" customWidth="1"/>
    <col min="5640" max="5640" width="18.85546875" style="104" customWidth="1"/>
    <col min="5641" max="5641" width="9.85546875" style="104" customWidth="1"/>
    <col min="5642" max="5642" width="21.85546875" style="104" bestFit="1" customWidth="1"/>
    <col min="5643" max="5643" width="4.7109375" style="104" customWidth="1"/>
    <col min="5644" max="5644" width="21.140625" style="104" customWidth="1"/>
    <col min="5645" max="5645" width="19.42578125" style="104" customWidth="1"/>
    <col min="5646" max="5646" width="28.85546875" style="104" bestFit="1" customWidth="1"/>
    <col min="5647" max="5647" width="3.140625" style="104" customWidth="1"/>
    <col min="5648" max="5648" width="21.85546875" style="104" customWidth="1"/>
    <col min="5649" max="5649" width="11.42578125" style="104" customWidth="1"/>
    <col min="5650" max="5650" width="20.5703125" style="104" bestFit="1" customWidth="1"/>
    <col min="5651" max="5888" width="11.42578125" style="104"/>
    <col min="5889" max="5889" width="4.7109375" style="104" customWidth="1"/>
    <col min="5890" max="5890" width="7.85546875" style="104" customWidth="1"/>
    <col min="5891" max="5891" width="1.85546875" style="104" customWidth="1"/>
    <col min="5892" max="5892" width="56" style="104" customWidth="1"/>
    <col min="5893" max="5893" width="37.28515625" style="104" customWidth="1"/>
    <col min="5894" max="5894" width="26.140625" style="104" customWidth="1"/>
    <col min="5895" max="5895" width="20.7109375" style="104" customWidth="1"/>
    <col min="5896" max="5896" width="18.85546875" style="104" customWidth="1"/>
    <col min="5897" max="5897" width="9.85546875" style="104" customWidth="1"/>
    <col min="5898" max="5898" width="21.85546875" style="104" bestFit="1" customWidth="1"/>
    <col min="5899" max="5899" width="4.7109375" style="104" customWidth="1"/>
    <col min="5900" max="5900" width="21.140625" style="104" customWidth="1"/>
    <col min="5901" max="5901" width="19.42578125" style="104" customWidth="1"/>
    <col min="5902" max="5902" width="28.85546875" style="104" bestFit="1" customWidth="1"/>
    <col min="5903" max="5903" width="3.140625" style="104" customWidth="1"/>
    <col min="5904" max="5904" width="21.85546875" style="104" customWidth="1"/>
    <col min="5905" max="5905" width="11.42578125" style="104" customWidth="1"/>
    <col min="5906" max="5906" width="20.5703125" style="104" bestFit="1" customWidth="1"/>
    <col min="5907" max="6144" width="11.42578125" style="104"/>
    <col min="6145" max="6145" width="4.7109375" style="104" customWidth="1"/>
    <col min="6146" max="6146" width="7.85546875" style="104" customWidth="1"/>
    <col min="6147" max="6147" width="1.85546875" style="104" customWidth="1"/>
    <col min="6148" max="6148" width="56" style="104" customWidth="1"/>
    <col min="6149" max="6149" width="37.28515625" style="104" customWidth="1"/>
    <col min="6150" max="6150" width="26.140625" style="104" customWidth="1"/>
    <col min="6151" max="6151" width="20.7109375" style="104" customWidth="1"/>
    <col min="6152" max="6152" width="18.85546875" style="104" customWidth="1"/>
    <col min="6153" max="6153" width="9.85546875" style="104" customWidth="1"/>
    <col min="6154" max="6154" width="21.85546875" style="104" bestFit="1" customWidth="1"/>
    <col min="6155" max="6155" width="4.7109375" style="104" customWidth="1"/>
    <col min="6156" max="6156" width="21.140625" style="104" customWidth="1"/>
    <col min="6157" max="6157" width="19.42578125" style="104" customWidth="1"/>
    <col min="6158" max="6158" width="28.85546875" style="104" bestFit="1" customWidth="1"/>
    <col min="6159" max="6159" width="3.140625" style="104" customWidth="1"/>
    <col min="6160" max="6160" width="21.85546875" style="104" customWidth="1"/>
    <col min="6161" max="6161" width="11.42578125" style="104" customWidth="1"/>
    <col min="6162" max="6162" width="20.5703125" style="104" bestFit="1" customWidth="1"/>
    <col min="6163" max="6400" width="11.42578125" style="104"/>
    <col min="6401" max="6401" width="4.7109375" style="104" customWidth="1"/>
    <col min="6402" max="6402" width="7.85546875" style="104" customWidth="1"/>
    <col min="6403" max="6403" width="1.85546875" style="104" customWidth="1"/>
    <col min="6404" max="6404" width="56" style="104" customWidth="1"/>
    <col min="6405" max="6405" width="37.28515625" style="104" customWidth="1"/>
    <col min="6406" max="6406" width="26.140625" style="104" customWidth="1"/>
    <col min="6407" max="6407" width="20.7109375" style="104" customWidth="1"/>
    <col min="6408" max="6408" width="18.85546875" style="104" customWidth="1"/>
    <col min="6409" max="6409" width="9.85546875" style="104" customWidth="1"/>
    <col min="6410" max="6410" width="21.85546875" style="104" bestFit="1" customWidth="1"/>
    <col min="6411" max="6411" width="4.7109375" style="104" customWidth="1"/>
    <col min="6412" max="6412" width="21.140625" style="104" customWidth="1"/>
    <col min="6413" max="6413" width="19.42578125" style="104" customWidth="1"/>
    <col min="6414" max="6414" width="28.85546875" style="104" bestFit="1" customWidth="1"/>
    <col min="6415" max="6415" width="3.140625" style="104" customWidth="1"/>
    <col min="6416" max="6416" width="21.85546875" style="104" customWidth="1"/>
    <col min="6417" max="6417" width="11.42578125" style="104" customWidth="1"/>
    <col min="6418" max="6418" width="20.5703125" style="104" bestFit="1" customWidth="1"/>
    <col min="6419" max="6656" width="11.42578125" style="104"/>
    <col min="6657" max="6657" width="4.7109375" style="104" customWidth="1"/>
    <col min="6658" max="6658" width="7.85546875" style="104" customWidth="1"/>
    <col min="6659" max="6659" width="1.85546875" style="104" customWidth="1"/>
    <col min="6660" max="6660" width="56" style="104" customWidth="1"/>
    <col min="6661" max="6661" width="37.28515625" style="104" customWidth="1"/>
    <col min="6662" max="6662" width="26.140625" style="104" customWidth="1"/>
    <col min="6663" max="6663" width="20.7109375" style="104" customWidth="1"/>
    <col min="6664" max="6664" width="18.85546875" style="104" customWidth="1"/>
    <col min="6665" max="6665" width="9.85546875" style="104" customWidth="1"/>
    <col min="6666" max="6666" width="21.85546875" style="104" bestFit="1" customWidth="1"/>
    <col min="6667" max="6667" width="4.7109375" style="104" customWidth="1"/>
    <col min="6668" max="6668" width="21.140625" style="104" customWidth="1"/>
    <col min="6669" max="6669" width="19.42578125" style="104" customWidth="1"/>
    <col min="6670" max="6670" width="28.85546875" style="104" bestFit="1" customWidth="1"/>
    <col min="6671" max="6671" width="3.140625" style="104" customWidth="1"/>
    <col min="6672" max="6672" width="21.85546875" style="104" customWidth="1"/>
    <col min="6673" max="6673" width="11.42578125" style="104" customWidth="1"/>
    <col min="6674" max="6674" width="20.5703125" style="104" bestFit="1" customWidth="1"/>
    <col min="6675" max="6912" width="11.42578125" style="104"/>
    <col min="6913" max="6913" width="4.7109375" style="104" customWidth="1"/>
    <col min="6914" max="6914" width="7.85546875" style="104" customWidth="1"/>
    <col min="6915" max="6915" width="1.85546875" style="104" customWidth="1"/>
    <col min="6916" max="6916" width="56" style="104" customWidth="1"/>
    <col min="6917" max="6917" width="37.28515625" style="104" customWidth="1"/>
    <col min="6918" max="6918" width="26.140625" style="104" customWidth="1"/>
    <col min="6919" max="6919" width="20.7109375" style="104" customWidth="1"/>
    <col min="6920" max="6920" width="18.85546875" style="104" customWidth="1"/>
    <col min="6921" max="6921" width="9.85546875" style="104" customWidth="1"/>
    <col min="6922" max="6922" width="21.85546875" style="104" bestFit="1" customWidth="1"/>
    <col min="6923" max="6923" width="4.7109375" style="104" customWidth="1"/>
    <col min="6924" max="6924" width="21.140625" style="104" customWidth="1"/>
    <col min="6925" max="6925" width="19.42578125" style="104" customWidth="1"/>
    <col min="6926" max="6926" width="28.85546875" style="104" bestFit="1" customWidth="1"/>
    <col min="6927" max="6927" width="3.140625" style="104" customWidth="1"/>
    <col min="6928" max="6928" width="21.85546875" style="104" customWidth="1"/>
    <col min="6929" max="6929" width="11.42578125" style="104" customWidth="1"/>
    <col min="6930" max="6930" width="20.5703125" style="104" bestFit="1" customWidth="1"/>
    <col min="6931" max="7168" width="11.42578125" style="104"/>
    <col min="7169" max="7169" width="4.7109375" style="104" customWidth="1"/>
    <col min="7170" max="7170" width="7.85546875" style="104" customWidth="1"/>
    <col min="7171" max="7171" width="1.85546875" style="104" customWidth="1"/>
    <col min="7172" max="7172" width="56" style="104" customWidth="1"/>
    <col min="7173" max="7173" width="37.28515625" style="104" customWidth="1"/>
    <col min="7174" max="7174" width="26.140625" style="104" customWidth="1"/>
    <col min="7175" max="7175" width="20.7109375" style="104" customWidth="1"/>
    <col min="7176" max="7176" width="18.85546875" style="104" customWidth="1"/>
    <col min="7177" max="7177" width="9.85546875" style="104" customWidth="1"/>
    <col min="7178" max="7178" width="21.85546875" style="104" bestFit="1" customWidth="1"/>
    <col min="7179" max="7179" width="4.7109375" style="104" customWidth="1"/>
    <col min="7180" max="7180" width="21.140625" style="104" customWidth="1"/>
    <col min="7181" max="7181" width="19.42578125" style="104" customWidth="1"/>
    <col min="7182" max="7182" width="28.85546875" style="104" bestFit="1" customWidth="1"/>
    <col min="7183" max="7183" width="3.140625" style="104" customWidth="1"/>
    <col min="7184" max="7184" width="21.85546875" style="104" customWidth="1"/>
    <col min="7185" max="7185" width="11.42578125" style="104" customWidth="1"/>
    <col min="7186" max="7186" width="20.5703125" style="104" bestFit="1" customWidth="1"/>
    <col min="7187" max="7424" width="11.42578125" style="104"/>
    <col min="7425" max="7425" width="4.7109375" style="104" customWidth="1"/>
    <col min="7426" max="7426" width="7.85546875" style="104" customWidth="1"/>
    <col min="7427" max="7427" width="1.85546875" style="104" customWidth="1"/>
    <col min="7428" max="7428" width="56" style="104" customWidth="1"/>
    <col min="7429" max="7429" width="37.28515625" style="104" customWidth="1"/>
    <col min="7430" max="7430" width="26.140625" style="104" customWidth="1"/>
    <col min="7431" max="7431" width="20.7109375" style="104" customWidth="1"/>
    <col min="7432" max="7432" width="18.85546875" style="104" customWidth="1"/>
    <col min="7433" max="7433" width="9.85546875" style="104" customWidth="1"/>
    <col min="7434" max="7434" width="21.85546875" style="104" bestFit="1" customWidth="1"/>
    <col min="7435" max="7435" width="4.7109375" style="104" customWidth="1"/>
    <col min="7436" max="7436" width="21.140625" style="104" customWidth="1"/>
    <col min="7437" max="7437" width="19.42578125" style="104" customWidth="1"/>
    <col min="7438" max="7438" width="28.85546875" style="104" bestFit="1" customWidth="1"/>
    <col min="7439" max="7439" width="3.140625" style="104" customWidth="1"/>
    <col min="7440" max="7440" width="21.85546875" style="104" customWidth="1"/>
    <col min="7441" max="7441" width="11.42578125" style="104" customWidth="1"/>
    <col min="7442" max="7442" width="20.5703125" style="104" bestFit="1" customWidth="1"/>
    <col min="7443" max="7680" width="11.42578125" style="104"/>
    <col min="7681" max="7681" width="4.7109375" style="104" customWidth="1"/>
    <col min="7682" max="7682" width="7.85546875" style="104" customWidth="1"/>
    <col min="7683" max="7683" width="1.85546875" style="104" customWidth="1"/>
    <col min="7684" max="7684" width="56" style="104" customWidth="1"/>
    <col min="7685" max="7685" width="37.28515625" style="104" customWidth="1"/>
    <col min="7686" max="7686" width="26.140625" style="104" customWidth="1"/>
    <col min="7687" max="7687" width="20.7109375" style="104" customWidth="1"/>
    <col min="7688" max="7688" width="18.85546875" style="104" customWidth="1"/>
    <col min="7689" max="7689" width="9.85546875" style="104" customWidth="1"/>
    <col min="7690" max="7690" width="21.85546875" style="104" bestFit="1" customWidth="1"/>
    <col min="7691" max="7691" width="4.7109375" style="104" customWidth="1"/>
    <col min="7692" max="7692" width="21.140625" style="104" customWidth="1"/>
    <col min="7693" max="7693" width="19.42578125" style="104" customWidth="1"/>
    <col min="7694" max="7694" width="28.85546875" style="104" bestFit="1" customWidth="1"/>
    <col min="7695" max="7695" width="3.140625" style="104" customWidth="1"/>
    <col min="7696" max="7696" width="21.85546875" style="104" customWidth="1"/>
    <col min="7697" max="7697" width="11.42578125" style="104" customWidth="1"/>
    <col min="7698" max="7698" width="20.5703125" style="104" bestFit="1" customWidth="1"/>
    <col min="7699" max="7936" width="11.42578125" style="104"/>
    <col min="7937" max="7937" width="4.7109375" style="104" customWidth="1"/>
    <col min="7938" max="7938" width="7.85546875" style="104" customWidth="1"/>
    <col min="7939" max="7939" width="1.85546875" style="104" customWidth="1"/>
    <col min="7940" max="7940" width="56" style="104" customWidth="1"/>
    <col min="7941" max="7941" width="37.28515625" style="104" customWidth="1"/>
    <col min="7942" max="7942" width="26.140625" style="104" customWidth="1"/>
    <col min="7943" max="7943" width="20.7109375" style="104" customWidth="1"/>
    <col min="7944" max="7944" width="18.85546875" style="104" customWidth="1"/>
    <col min="7945" max="7945" width="9.85546875" style="104" customWidth="1"/>
    <col min="7946" max="7946" width="21.85546875" style="104" bestFit="1" customWidth="1"/>
    <col min="7947" max="7947" width="4.7109375" style="104" customWidth="1"/>
    <col min="7948" max="7948" width="21.140625" style="104" customWidth="1"/>
    <col min="7949" max="7949" width="19.42578125" style="104" customWidth="1"/>
    <col min="7950" max="7950" width="28.85546875" style="104" bestFit="1" customWidth="1"/>
    <col min="7951" max="7951" width="3.140625" style="104" customWidth="1"/>
    <col min="7952" max="7952" width="21.85546875" style="104" customWidth="1"/>
    <col min="7953" max="7953" width="11.42578125" style="104" customWidth="1"/>
    <col min="7954" max="7954" width="20.5703125" style="104" bestFit="1" customWidth="1"/>
    <col min="7955" max="8192" width="11.42578125" style="104"/>
    <col min="8193" max="8193" width="4.7109375" style="104" customWidth="1"/>
    <col min="8194" max="8194" width="7.85546875" style="104" customWidth="1"/>
    <col min="8195" max="8195" width="1.85546875" style="104" customWidth="1"/>
    <col min="8196" max="8196" width="56" style="104" customWidth="1"/>
    <col min="8197" max="8197" width="37.28515625" style="104" customWidth="1"/>
    <col min="8198" max="8198" width="26.140625" style="104" customWidth="1"/>
    <col min="8199" max="8199" width="20.7109375" style="104" customWidth="1"/>
    <col min="8200" max="8200" width="18.85546875" style="104" customWidth="1"/>
    <col min="8201" max="8201" width="9.85546875" style="104" customWidth="1"/>
    <col min="8202" max="8202" width="21.85546875" style="104" bestFit="1" customWidth="1"/>
    <col min="8203" max="8203" width="4.7109375" style="104" customWidth="1"/>
    <col min="8204" max="8204" width="21.140625" style="104" customWidth="1"/>
    <col min="8205" max="8205" width="19.42578125" style="104" customWidth="1"/>
    <col min="8206" max="8206" width="28.85546875" style="104" bestFit="1" customWidth="1"/>
    <col min="8207" max="8207" width="3.140625" style="104" customWidth="1"/>
    <col min="8208" max="8208" width="21.85546875" style="104" customWidth="1"/>
    <col min="8209" max="8209" width="11.42578125" style="104" customWidth="1"/>
    <col min="8210" max="8210" width="20.5703125" style="104" bestFit="1" customWidth="1"/>
    <col min="8211" max="8448" width="11.42578125" style="104"/>
    <col min="8449" max="8449" width="4.7109375" style="104" customWidth="1"/>
    <col min="8450" max="8450" width="7.85546875" style="104" customWidth="1"/>
    <col min="8451" max="8451" width="1.85546875" style="104" customWidth="1"/>
    <col min="8452" max="8452" width="56" style="104" customWidth="1"/>
    <col min="8453" max="8453" width="37.28515625" style="104" customWidth="1"/>
    <col min="8454" max="8454" width="26.140625" style="104" customWidth="1"/>
    <col min="8455" max="8455" width="20.7109375" style="104" customWidth="1"/>
    <col min="8456" max="8456" width="18.85546875" style="104" customWidth="1"/>
    <col min="8457" max="8457" width="9.85546875" style="104" customWidth="1"/>
    <col min="8458" max="8458" width="21.85546875" style="104" bestFit="1" customWidth="1"/>
    <col min="8459" max="8459" width="4.7109375" style="104" customWidth="1"/>
    <col min="8460" max="8460" width="21.140625" style="104" customWidth="1"/>
    <col min="8461" max="8461" width="19.42578125" style="104" customWidth="1"/>
    <col min="8462" max="8462" width="28.85546875" style="104" bestFit="1" customWidth="1"/>
    <col min="8463" max="8463" width="3.140625" style="104" customWidth="1"/>
    <col min="8464" max="8464" width="21.85546875" style="104" customWidth="1"/>
    <col min="8465" max="8465" width="11.42578125" style="104" customWidth="1"/>
    <col min="8466" max="8466" width="20.5703125" style="104" bestFit="1" customWidth="1"/>
    <col min="8467" max="8704" width="11.42578125" style="104"/>
    <col min="8705" max="8705" width="4.7109375" style="104" customWidth="1"/>
    <col min="8706" max="8706" width="7.85546875" style="104" customWidth="1"/>
    <col min="8707" max="8707" width="1.85546875" style="104" customWidth="1"/>
    <col min="8708" max="8708" width="56" style="104" customWidth="1"/>
    <col min="8709" max="8709" width="37.28515625" style="104" customWidth="1"/>
    <col min="8710" max="8710" width="26.140625" style="104" customWidth="1"/>
    <col min="8711" max="8711" width="20.7109375" style="104" customWidth="1"/>
    <col min="8712" max="8712" width="18.85546875" style="104" customWidth="1"/>
    <col min="8713" max="8713" width="9.85546875" style="104" customWidth="1"/>
    <col min="8714" max="8714" width="21.85546875" style="104" bestFit="1" customWidth="1"/>
    <col min="8715" max="8715" width="4.7109375" style="104" customWidth="1"/>
    <col min="8716" max="8716" width="21.140625" style="104" customWidth="1"/>
    <col min="8717" max="8717" width="19.42578125" style="104" customWidth="1"/>
    <col min="8718" max="8718" width="28.85546875" style="104" bestFit="1" customWidth="1"/>
    <col min="8719" max="8719" width="3.140625" style="104" customWidth="1"/>
    <col min="8720" max="8720" width="21.85546875" style="104" customWidth="1"/>
    <col min="8721" max="8721" width="11.42578125" style="104" customWidth="1"/>
    <col min="8722" max="8722" width="20.5703125" style="104" bestFit="1" customWidth="1"/>
    <col min="8723" max="8960" width="11.42578125" style="104"/>
    <col min="8961" max="8961" width="4.7109375" style="104" customWidth="1"/>
    <col min="8962" max="8962" width="7.85546875" style="104" customWidth="1"/>
    <col min="8963" max="8963" width="1.85546875" style="104" customWidth="1"/>
    <col min="8964" max="8964" width="56" style="104" customWidth="1"/>
    <col min="8965" max="8965" width="37.28515625" style="104" customWidth="1"/>
    <col min="8966" max="8966" width="26.140625" style="104" customWidth="1"/>
    <col min="8967" max="8967" width="20.7109375" style="104" customWidth="1"/>
    <col min="8968" max="8968" width="18.85546875" style="104" customWidth="1"/>
    <col min="8969" max="8969" width="9.85546875" style="104" customWidth="1"/>
    <col min="8970" max="8970" width="21.85546875" style="104" bestFit="1" customWidth="1"/>
    <col min="8971" max="8971" width="4.7109375" style="104" customWidth="1"/>
    <col min="8972" max="8972" width="21.140625" style="104" customWidth="1"/>
    <col min="8973" max="8973" width="19.42578125" style="104" customWidth="1"/>
    <col min="8974" max="8974" width="28.85546875" style="104" bestFit="1" customWidth="1"/>
    <col min="8975" max="8975" width="3.140625" style="104" customWidth="1"/>
    <col min="8976" max="8976" width="21.85546875" style="104" customWidth="1"/>
    <col min="8977" max="8977" width="11.42578125" style="104" customWidth="1"/>
    <col min="8978" max="8978" width="20.5703125" style="104" bestFit="1" customWidth="1"/>
    <col min="8979" max="9216" width="11.42578125" style="104"/>
    <col min="9217" max="9217" width="4.7109375" style="104" customWidth="1"/>
    <col min="9218" max="9218" width="7.85546875" style="104" customWidth="1"/>
    <col min="9219" max="9219" width="1.85546875" style="104" customWidth="1"/>
    <col min="9220" max="9220" width="56" style="104" customWidth="1"/>
    <col min="9221" max="9221" width="37.28515625" style="104" customWidth="1"/>
    <col min="9222" max="9222" width="26.140625" style="104" customWidth="1"/>
    <col min="9223" max="9223" width="20.7109375" style="104" customWidth="1"/>
    <col min="9224" max="9224" width="18.85546875" style="104" customWidth="1"/>
    <col min="9225" max="9225" width="9.85546875" style="104" customWidth="1"/>
    <col min="9226" max="9226" width="21.85546875" style="104" bestFit="1" customWidth="1"/>
    <col min="9227" max="9227" width="4.7109375" style="104" customWidth="1"/>
    <col min="9228" max="9228" width="21.140625" style="104" customWidth="1"/>
    <col min="9229" max="9229" width="19.42578125" style="104" customWidth="1"/>
    <col min="9230" max="9230" width="28.85546875" style="104" bestFit="1" customWidth="1"/>
    <col min="9231" max="9231" width="3.140625" style="104" customWidth="1"/>
    <col min="9232" max="9232" width="21.85546875" style="104" customWidth="1"/>
    <col min="9233" max="9233" width="11.42578125" style="104" customWidth="1"/>
    <col min="9234" max="9234" width="20.5703125" style="104" bestFit="1" customWidth="1"/>
    <col min="9235" max="9472" width="11.42578125" style="104"/>
    <col min="9473" max="9473" width="4.7109375" style="104" customWidth="1"/>
    <col min="9474" max="9474" width="7.85546875" style="104" customWidth="1"/>
    <col min="9475" max="9475" width="1.85546875" style="104" customWidth="1"/>
    <col min="9476" max="9476" width="56" style="104" customWidth="1"/>
    <col min="9477" max="9477" width="37.28515625" style="104" customWidth="1"/>
    <col min="9478" max="9478" width="26.140625" style="104" customWidth="1"/>
    <col min="9479" max="9479" width="20.7109375" style="104" customWidth="1"/>
    <col min="9480" max="9480" width="18.85546875" style="104" customWidth="1"/>
    <col min="9481" max="9481" width="9.85546875" style="104" customWidth="1"/>
    <col min="9482" max="9482" width="21.85546875" style="104" bestFit="1" customWidth="1"/>
    <col min="9483" max="9483" width="4.7109375" style="104" customWidth="1"/>
    <col min="9484" max="9484" width="21.140625" style="104" customWidth="1"/>
    <col min="9485" max="9485" width="19.42578125" style="104" customWidth="1"/>
    <col min="9486" max="9486" width="28.85546875" style="104" bestFit="1" customWidth="1"/>
    <col min="9487" max="9487" width="3.140625" style="104" customWidth="1"/>
    <col min="9488" max="9488" width="21.85546875" style="104" customWidth="1"/>
    <col min="9489" max="9489" width="11.42578125" style="104" customWidth="1"/>
    <col min="9490" max="9490" width="20.5703125" style="104" bestFit="1" customWidth="1"/>
    <col min="9491" max="9728" width="11.42578125" style="104"/>
    <col min="9729" max="9729" width="4.7109375" style="104" customWidth="1"/>
    <col min="9730" max="9730" width="7.85546875" style="104" customWidth="1"/>
    <col min="9731" max="9731" width="1.85546875" style="104" customWidth="1"/>
    <col min="9732" max="9732" width="56" style="104" customWidth="1"/>
    <col min="9733" max="9733" width="37.28515625" style="104" customWidth="1"/>
    <col min="9734" max="9734" width="26.140625" style="104" customWidth="1"/>
    <col min="9735" max="9735" width="20.7109375" style="104" customWidth="1"/>
    <col min="9736" max="9736" width="18.85546875" style="104" customWidth="1"/>
    <col min="9737" max="9737" width="9.85546875" style="104" customWidth="1"/>
    <col min="9738" max="9738" width="21.85546875" style="104" bestFit="1" customWidth="1"/>
    <col min="9739" max="9739" width="4.7109375" style="104" customWidth="1"/>
    <col min="9740" max="9740" width="21.140625" style="104" customWidth="1"/>
    <col min="9741" max="9741" width="19.42578125" style="104" customWidth="1"/>
    <col min="9742" max="9742" width="28.85546875" style="104" bestFit="1" customWidth="1"/>
    <col min="9743" max="9743" width="3.140625" style="104" customWidth="1"/>
    <col min="9744" max="9744" width="21.85546875" style="104" customWidth="1"/>
    <col min="9745" max="9745" width="11.42578125" style="104" customWidth="1"/>
    <col min="9746" max="9746" width="20.5703125" style="104" bestFit="1" customWidth="1"/>
    <col min="9747" max="9984" width="11.42578125" style="104"/>
    <col min="9985" max="9985" width="4.7109375" style="104" customWidth="1"/>
    <col min="9986" max="9986" width="7.85546875" style="104" customWidth="1"/>
    <col min="9987" max="9987" width="1.85546875" style="104" customWidth="1"/>
    <col min="9988" max="9988" width="56" style="104" customWidth="1"/>
    <col min="9989" max="9989" width="37.28515625" style="104" customWidth="1"/>
    <col min="9990" max="9990" width="26.140625" style="104" customWidth="1"/>
    <col min="9991" max="9991" width="20.7109375" style="104" customWidth="1"/>
    <col min="9992" max="9992" width="18.85546875" style="104" customWidth="1"/>
    <col min="9993" max="9993" width="9.85546875" style="104" customWidth="1"/>
    <col min="9994" max="9994" width="21.85546875" style="104" bestFit="1" customWidth="1"/>
    <col min="9995" max="9995" width="4.7109375" style="104" customWidth="1"/>
    <col min="9996" max="9996" width="21.140625" style="104" customWidth="1"/>
    <col min="9997" max="9997" width="19.42578125" style="104" customWidth="1"/>
    <col min="9998" max="9998" width="28.85546875" style="104" bestFit="1" customWidth="1"/>
    <col min="9999" max="9999" width="3.140625" style="104" customWidth="1"/>
    <col min="10000" max="10000" width="21.85546875" style="104" customWidth="1"/>
    <col min="10001" max="10001" width="11.42578125" style="104" customWidth="1"/>
    <col min="10002" max="10002" width="20.5703125" style="104" bestFit="1" customWidth="1"/>
    <col min="10003" max="10240" width="11.42578125" style="104"/>
    <col min="10241" max="10241" width="4.7109375" style="104" customWidth="1"/>
    <col min="10242" max="10242" width="7.85546875" style="104" customWidth="1"/>
    <col min="10243" max="10243" width="1.85546875" style="104" customWidth="1"/>
    <col min="10244" max="10244" width="56" style="104" customWidth="1"/>
    <col min="10245" max="10245" width="37.28515625" style="104" customWidth="1"/>
    <col min="10246" max="10246" width="26.140625" style="104" customWidth="1"/>
    <col min="10247" max="10247" width="20.7109375" style="104" customWidth="1"/>
    <col min="10248" max="10248" width="18.85546875" style="104" customWidth="1"/>
    <col min="10249" max="10249" width="9.85546875" style="104" customWidth="1"/>
    <col min="10250" max="10250" width="21.85546875" style="104" bestFit="1" customWidth="1"/>
    <col min="10251" max="10251" width="4.7109375" style="104" customWidth="1"/>
    <col min="10252" max="10252" width="21.140625" style="104" customWidth="1"/>
    <col min="10253" max="10253" width="19.42578125" style="104" customWidth="1"/>
    <col min="10254" max="10254" width="28.85546875" style="104" bestFit="1" customWidth="1"/>
    <col min="10255" max="10255" width="3.140625" style="104" customWidth="1"/>
    <col min="10256" max="10256" width="21.85546875" style="104" customWidth="1"/>
    <col min="10257" max="10257" width="11.42578125" style="104" customWidth="1"/>
    <col min="10258" max="10258" width="20.5703125" style="104" bestFit="1" customWidth="1"/>
    <col min="10259" max="10496" width="11.42578125" style="104"/>
    <col min="10497" max="10497" width="4.7109375" style="104" customWidth="1"/>
    <col min="10498" max="10498" width="7.85546875" style="104" customWidth="1"/>
    <col min="10499" max="10499" width="1.85546875" style="104" customWidth="1"/>
    <col min="10500" max="10500" width="56" style="104" customWidth="1"/>
    <col min="10501" max="10501" width="37.28515625" style="104" customWidth="1"/>
    <col min="10502" max="10502" width="26.140625" style="104" customWidth="1"/>
    <col min="10503" max="10503" width="20.7109375" style="104" customWidth="1"/>
    <col min="10504" max="10504" width="18.85546875" style="104" customWidth="1"/>
    <col min="10505" max="10505" width="9.85546875" style="104" customWidth="1"/>
    <col min="10506" max="10506" width="21.85546875" style="104" bestFit="1" customWidth="1"/>
    <col min="10507" max="10507" width="4.7109375" style="104" customWidth="1"/>
    <col min="10508" max="10508" width="21.140625" style="104" customWidth="1"/>
    <col min="10509" max="10509" width="19.42578125" style="104" customWidth="1"/>
    <col min="10510" max="10510" width="28.85546875" style="104" bestFit="1" customWidth="1"/>
    <col min="10511" max="10511" width="3.140625" style="104" customWidth="1"/>
    <col min="10512" max="10512" width="21.85546875" style="104" customWidth="1"/>
    <col min="10513" max="10513" width="11.42578125" style="104" customWidth="1"/>
    <col min="10514" max="10514" width="20.5703125" style="104" bestFit="1" customWidth="1"/>
    <col min="10515" max="10752" width="11.42578125" style="104"/>
    <col min="10753" max="10753" width="4.7109375" style="104" customWidth="1"/>
    <col min="10754" max="10754" width="7.85546875" style="104" customWidth="1"/>
    <col min="10755" max="10755" width="1.85546875" style="104" customWidth="1"/>
    <col min="10756" max="10756" width="56" style="104" customWidth="1"/>
    <col min="10757" max="10757" width="37.28515625" style="104" customWidth="1"/>
    <col min="10758" max="10758" width="26.140625" style="104" customWidth="1"/>
    <col min="10759" max="10759" width="20.7109375" style="104" customWidth="1"/>
    <col min="10760" max="10760" width="18.85546875" style="104" customWidth="1"/>
    <col min="10761" max="10761" width="9.85546875" style="104" customWidth="1"/>
    <col min="10762" max="10762" width="21.85546875" style="104" bestFit="1" customWidth="1"/>
    <col min="10763" max="10763" width="4.7109375" style="104" customWidth="1"/>
    <col min="10764" max="10764" width="21.140625" style="104" customWidth="1"/>
    <col min="10765" max="10765" width="19.42578125" style="104" customWidth="1"/>
    <col min="10766" max="10766" width="28.85546875" style="104" bestFit="1" customWidth="1"/>
    <col min="10767" max="10767" width="3.140625" style="104" customWidth="1"/>
    <col min="10768" max="10768" width="21.85546875" style="104" customWidth="1"/>
    <col min="10769" max="10769" width="11.42578125" style="104" customWidth="1"/>
    <col min="10770" max="10770" width="20.5703125" style="104" bestFit="1" customWidth="1"/>
    <col min="10771" max="11008" width="11.42578125" style="104"/>
    <col min="11009" max="11009" width="4.7109375" style="104" customWidth="1"/>
    <col min="11010" max="11010" width="7.85546875" style="104" customWidth="1"/>
    <col min="11011" max="11011" width="1.85546875" style="104" customWidth="1"/>
    <col min="11012" max="11012" width="56" style="104" customWidth="1"/>
    <col min="11013" max="11013" width="37.28515625" style="104" customWidth="1"/>
    <col min="11014" max="11014" width="26.140625" style="104" customWidth="1"/>
    <col min="11015" max="11015" width="20.7109375" style="104" customWidth="1"/>
    <col min="11016" max="11016" width="18.85546875" style="104" customWidth="1"/>
    <col min="11017" max="11017" width="9.85546875" style="104" customWidth="1"/>
    <col min="11018" max="11018" width="21.85546875" style="104" bestFit="1" customWidth="1"/>
    <col min="11019" max="11019" width="4.7109375" style="104" customWidth="1"/>
    <col min="11020" max="11020" width="21.140625" style="104" customWidth="1"/>
    <col min="11021" max="11021" width="19.42578125" style="104" customWidth="1"/>
    <col min="11022" max="11022" width="28.85546875" style="104" bestFit="1" customWidth="1"/>
    <col min="11023" max="11023" width="3.140625" style="104" customWidth="1"/>
    <col min="11024" max="11024" width="21.85546875" style="104" customWidth="1"/>
    <col min="11025" max="11025" width="11.42578125" style="104" customWidth="1"/>
    <col min="11026" max="11026" width="20.5703125" style="104" bestFit="1" customWidth="1"/>
    <col min="11027" max="11264" width="11.42578125" style="104"/>
    <col min="11265" max="11265" width="4.7109375" style="104" customWidth="1"/>
    <col min="11266" max="11266" width="7.85546875" style="104" customWidth="1"/>
    <col min="11267" max="11267" width="1.85546875" style="104" customWidth="1"/>
    <col min="11268" max="11268" width="56" style="104" customWidth="1"/>
    <col min="11269" max="11269" width="37.28515625" style="104" customWidth="1"/>
    <col min="11270" max="11270" width="26.140625" style="104" customWidth="1"/>
    <col min="11271" max="11271" width="20.7109375" style="104" customWidth="1"/>
    <col min="11272" max="11272" width="18.85546875" style="104" customWidth="1"/>
    <col min="11273" max="11273" width="9.85546875" style="104" customWidth="1"/>
    <col min="11274" max="11274" width="21.85546875" style="104" bestFit="1" customWidth="1"/>
    <col min="11275" max="11275" width="4.7109375" style="104" customWidth="1"/>
    <col min="11276" max="11276" width="21.140625" style="104" customWidth="1"/>
    <col min="11277" max="11277" width="19.42578125" style="104" customWidth="1"/>
    <col min="11278" max="11278" width="28.85546875" style="104" bestFit="1" customWidth="1"/>
    <col min="11279" max="11279" width="3.140625" style="104" customWidth="1"/>
    <col min="11280" max="11280" width="21.85546875" style="104" customWidth="1"/>
    <col min="11281" max="11281" width="11.42578125" style="104" customWidth="1"/>
    <col min="11282" max="11282" width="20.5703125" style="104" bestFit="1" customWidth="1"/>
    <col min="11283" max="11520" width="11.42578125" style="104"/>
    <col min="11521" max="11521" width="4.7109375" style="104" customWidth="1"/>
    <col min="11522" max="11522" width="7.85546875" style="104" customWidth="1"/>
    <col min="11523" max="11523" width="1.85546875" style="104" customWidth="1"/>
    <col min="11524" max="11524" width="56" style="104" customWidth="1"/>
    <col min="11525" max="11525" width="37.28515625" style="104" customWidth="1"/>
    <col min="11526" max="11526" width="26.140625" style="104" customWidth="1"/>
    <col min="11527" max="11527" width="20.7109375" style="104" customWidth="1"/>
    <col min="11528" max="11528" width="18.85546875" style="104" customWidth="1"/>
    <col min="11529" max="11529" width="9.85546875" style="104" customWidth="1"/>
    <col min="11530" max="11530" width="21.85546875" style="104" bestFit="1" customWidth="1"/>
    <col min="11531" max="11531" width="4.7109375" style="104" customWidth="1"/>
    <col min="11532" max="11532" width="21.140625" style="104" customWidth="1"/>
    <col min="11533" max="11533" width="19.42578125" style="104" customWidth="1"/>
    <col min="11534" max="11534" width="28.85546875" style="104" bestFit="1" customWidth="1"/>
    <col min="11535" max="11535" width="3.140625" style="104" customWidth="1"/>
    <col min="11536" max="11536" width="21.85546875" style="104" customWidth="1"/>
    <col min="11537" max="11537" width="11.42578125" style="104" customWidth="1"/>
    <col min="11538" max="11538" width="20.5703125" style="104" bestFit="1" customWidth="1"/>
    <col min="11539" max="11776" width="11.42578125" style="104"/>
    <col min="11777" max="11777" width="4.7109375" style="104" customWidth="1"/>
    <col min="11778" max="11778" width="7.85546875" style="104" customWidth="1"/>
    <col min="11779" max="11779" width="1.85546875" style="104" customWidth="1"/>
    <col min="11780" max="11780" width="56" style="104" customWidth="1"/>
    <col min="11781" max="11781" width="37.28515625" style="104" customWidth="1"/>
    <col min="11782" max="11782" width="26.140625" style="104" customWidth="1"/>
    <col min="11783" max="11783" width="20.7109375" style="104" customWidth="1"/>
    <col min="11784" max="11784" width="18.85546875" style="104" customWidth="1"/>
    <col min="11785" max="11785" width="9.85546875" style="104" customWidth="1"/>
    <col min="11786" max="11786" width="21.85546875" style="104" bestFit="1" customWidth="1"/>
    <col min="11787" max="11787" width="4.7109375" style="104" customWidth="1"/>
    <col min="11788" max="11788" width="21.140625" style="104" customWidth="1"/>
    <col min="11789" max="11789" width="19.42578125" style="104" customWidth="1"/>
    <col min="11790" max="11790" width="28.85546875" style="104" bestFit="1" customWidth="1"/>
    <col min="11791" max="11791" width="3.140625" style="104" customWidth="1"/>
    <col min="11792" max="11792" width="21.85546875" style="104" customWidth="1"/>
    <col min="11793" max="11793" width="11.42578125" style="104" customWidth="1"/>
    <col min="11794" max="11794" width="20.5703125" style="104" bestFit="1" customWidth="1"/>
    <col min="11795" max="12032" width="11.42578125" style="104"/>
    <col min="12033" max="12033" width="4.7109375" style="104" customWidth="1"/>
    <col min="12034" max="12034" width="7.85546875" style="104" customWidth="1"/>
    <col min="12035" max="12035" width="1.85546875" style="104" customWidth="1"/>
    <col min="12036" max="12036" width="56" style="104" customWidth="1"/>
    <col min="12037" max="12037" width="37.28515625" style="104" customWidth="1"/>
    <col min="12038" max="12038" width="26.140625" style="104" customWidth="1"/>
    <col min="12039" max="12039" width="20.7109375" style="104" customWidth="1"/>
    <col min="12040" max="12040" width="18.85546875" style="104" customWidth="1"/>
    <col min="12041" max="12041" width="9.85546875" style="104" customWidth="1"/>
    <col min="12042" max="12042" width="21.85546875" style="104" bestFit="1" customWidth="1"/>
    <col min="12043" max="12043" width="4.7109375" style="104" customWidth="1"/>
    <col min="12044" max="12044" width="21.140625" style="104" customWidth="1"/>
    <col min="12045" max="12045" width="19.42578125" style="104" customWidth="1"/>
    <col min="12046" max="12046" width="28.85546875" style="104" bestFit="1" customWidth="1"/>
    <col min="12047" max="12047" width="3.140625" style="104" customWidth="1"/>
    <col min="12048" max="12048" width="21.85546875" style="104" customWidth="1"/>
    <col min="12049" max="12049" width="11.42578125" style="104" customWidth="1"/>
    <col min="12050" max="12050" width="20.5703125" style="104" bestFit="1" customWidth="1"/>
    <col min="12051" max="12288" width="11.42578125" style="104"/>
    <col min="12289" max="12289" width="4.7109375" style="104" customWidth="1"/>
    <col min="12290" max="12290" width="7.85546875" style="104" customWidth="1"/>
    <col min="12291" max="12291" width="1.85546875" style="104" customWidth="1"/>
    <col min="12292" max="12292" width="56" style="104" customWidth="1"/>
    <col min="12293" max="12293" width="37.28515625" style="104" customWidth="1"/>
    <col min="12294" max="12294" width="26.140625" style="104" customWidth="1"/>
    <col min="12295" max="12295" width="20.7109375" style="104" customWidth="1"/>
    <col min="12296" max="12296" width="18.85546875" style="104" customWidth="1"/>
    <col min="12297" max="12297" width="9.85546875" style="104" customWidth="1"/>
    <col min="12298" max="12298" width="21.85546875" style="104" bestFit="1" customWidth="1"/>
    <col min="12299" max="12299" width="4.7109375" style="104" customWidth="1"/>
    <col min="12300" max="12300" width="21.140625" style="104" customWidth="1"/>
    <col min="12301" max="12301" width="19.42578125" style="104" customWidth="1"/>
    <col min="12302" max="12302" width="28.85546875" style="104" bestFit="1" customWidth="1"/>
    <col min="12303" max="12303" width="3.140625" style="104" customWidth="1"/>
    <col min="12304" max="12304" width="21.85546875" style="104" customWidth="1"/>
    <col min="12305" max="12305" width="11.42578125" style="104" customWidth="1"/>
    <col min="12306" max="12306" width="20.5703125" style="104" bestFit="1" customWidth="1"/>
    <col min="12307" max="12544" width="11.42578125" style="104"/>
    <col min="12545" max="12545" width="4.7109375" style="104" customWidth="1"/>
    <col min="12546" max="12546" width="7.85546875" style="104" customWidth="1"/>
    <col min="12547" max="12547" width="1.85546875" style="104" customWidth="1"/>
    <col min="12548" max="12548" width="56" style="104" customWidth="1"/>
    <col min="12549" max="12549" width="37.28515625" style="104" customWidth="1"/>
    <col min="12550" max="12550" width="26.140625" style="104" customWidth="1"/>
    <col min="12551" max="12551" width="20.7109375" style="104" customWidth="1"/>
    <col min="12552" max="12552" width="18.85546875" style="104" customWidth="1"/>
    <col min="12553" max="12553" width="9.85546875" style="104" customWidth="1"/>
    <col min="12554" max="12554" width="21.85546875" style="104" bestFit="1" customWidth="1"/>
    <col min="12555" max="12555" width="4.7109375" style="104" customWidth="1"/>
    <col min="12556" max="12556" width="21.140625" style="104" customWidth="1"/>
    <col min="12557" max="12557" width="19.42578125" style="104" customWidth="1"/>
    <col min="12558" max="12558" width="28.85546875" style="104" bestFit="1" customWidth="1"/>
    <col min="12559" max="12559" width="3.140625" style="104" customWidth="1"/>
    <col min="12560" max="12560" width="21.85546875" style="104" customWidth="1"/>
    <col min="12561" max="12561" width="11.42578125" style="104" customWidth="1"/>
    <col min="12562" max="12562" width="20.5703125" style="104" bestFit="1" customWidth="1"/>
    <col min="12563" max="12800" width="11.42578125" style="104"/>
    <col min="12801" max="12801" width="4.7109375" style="104" customWidth="1"/>
    <col min="12802" max="12802" width="7.85546875" style="104" customWidth="1"/>
    <col min="12803" max="12803" width="1.85546875" style="104" customWidth="1"/>
    <col min="12804" max="12804" width="56" style="104" customWidth="1"/>
    <col min="12805" max="12805" width="37.28515625" style="104" customWidth="1"/>
    <col min="12806" max="12806" width="26.140625" style="104" customWidth="1"/>
    <col min="12807" max="12807" width="20.7109375" style="104" customWidth="1"/>
    <col min="12808" max="12808" width="18.85546875" style="104" customWidth="1"/>
    <col min="12809" max="12809" width="9.85546875" style="104" customWidth="1"/>
    <col min="12810" max="12810" width="21.85546875" style="104" bestFit="1" customWidth="1"/>
    <col min="12811" max="12811" width="4.7109375" style="104" customWidth="1"/>
    <col min="12812" max="12812" width="21.140625" style="104" customWidth="1"/>
    <col min="12813" max="12813" width="19.42578125" style="104" customWidth="1"/>
    <col min="12814" max="12814" width="28.85546875" style="104" bestFit="1" customWidth="1"/>
    <col min="12815" max="12815" width="3.140625" style="104" customWidth="1"/>
    <col min="12816" max="12816" width="21.85546875" style="104" customWidth="1"/>
    <col min="12817" max="12817" width="11.42578125" style="104" customWidth="1"/>
    <col min="12818" max="12818" width="20.5703125" style="104" bestFit="1" customWidth="1"/>
    <col min="12819" max="13056" width="11.42578125" style="104"/>
    <col min="13057" max="13057" width="4.7109375" style="104" customWidth="1"/>
    <col min="13058" max="13058" width="7.85546875" style="104" customWidth="1"/>
    <col min="13059" max="13059" width="1.85546875" style="104" customWidth="1"/>
    <col min="13060" max="13060" width="56" style="104" customWidth="1"/>
    <col min="13061" max="13061" width="37.28515625" style="104" customWidth="1"/>
    <col min="13062" max="13062" width="26.140625" style="104" customWidth="1"/>
    <col min="13063" max="13063" width="20.7109375" style="104" customWidth="1"/>
    <col min="13064" max="13064" width="18.85546875" style="104" customWidth="1"/>
    <col min="13065" max="13065" width="9.85546875" style="104" customWidth="1"/>
    <col min="13066" max="13066" width="21.85546875" style="104" bestFit="1" customWidth="1"/>
    <col min="13067" max="13067" width="4.7109375" style="104" customWidth="1"/>
    <col min="13068" max="13068" width="21.140625" style="104" customWidth="1"/>
    <col min="13069" max="13069" width="19.42578125" style="104" customWidth="1"/>
    <col min="13070" max="13070" width="28.85546875" style="104" bestFit="1" customWidth="1"/>
    <col min="13071" max="13071" width="3.140625" style="104" customWidth="1"/>
    <col min="13072" max="13072" width="21.85546875" style="104" customWidth="1"/>
    <col min="13073" max="13073" width="11.42578125" style="104" customWidth="1"/>
    <col min="13074" max="13074" width="20.5703125" style="104" bestFit="1" customWidth="1"/>
    <col min="13075" max="13312" width="11.42578125" style="104"/>
    <col min="13313" max="13313" width="4.7109375" style="104" customWidth="1"/>
    <col min="13314" max="13314" width="7.85546875" style="104" customWidth="1"/>
    <col min="13315" max="13315" width="1.85546875" style="104" customWidth="1"/>
    <col min="13316" max="13316" width="56" style="104" customWidth="1"/>
    <col min="13317" max="13317" width="37.28515625" style="104" customWidth="1"/>
    <col min="13318" max="13318" width="26.140625" style="104" customWidth="1"/>
    <col min="13319" max="13319" width="20.7109375" style="104" customWidth="1"/>
    <col min="13320" max="13320" width="18.85546875" style="104" customWidth="1"/>
    <col min="13321" max="13321" width="9.85546875" style="104" customWidth="1"/>
    <col min="13322" max="13322" width="21.85546875" style="104" bestFit="1" customWidth="1"/>
    <col min="13323" max="13323" width="4.7109375" style="104" customWidth="1"/>
    <col min="13324" max="13324" width="21.140625" style="104" customWidth="1"/>
    <col min="13325" max="13325" width="19.42578125" style="104" customWidth="1"/>
    <col min="13326" max="13326" width="28.85546875" style="104" bestFit="1" customWidth="1"/>
    <col min="13327" max="13327" width="3.140625" style="104" customWidth="1"/>
    <col min="13328" max="13328" width="21.85546875" style="104" customWidth="1"/>
    <col min="13329" max="13329" width="11.42578125" style="104" customWidth="1"/>
    <col min="13330" max="13330" width="20.5703125" style="104" bestFit="1" customWidth="1"/>
    <col min="13331" max="13568" width="11.42578125" style="104"/>
    <col min="13569" max="13569" width="4.7109375" style="104" customWidth="1"/>
    <col min="13570" max="13570" width="7.85546875" style="104" customWidth="1"/>
    <col min="13571" max="13571" width="1.85546875" style="104" customWidth="1"/>
    <col min="13572" max="13572" width="56" style="104" customWidth="1"/>
    <col min="13573" max="13573" width="37.28515625" style="104" customWidth="1"/>
    <col min="13574" max="13574" width="26.140625" style="104" customWidth="1"/>
    <col min="13575" max="13575" width="20.7109375" style="104" customWidth="1"/>
    <col min="13576" max="13576" width="18.85546875" style="104" customWidth="1"/>
    <col min="13577" max="13577" width="9.85546875" style="104" customWidth="1"/>
    <col min="13578" max="13578" width="21.85546875" style="104" bestFit="1" customWidth="1"/>
    <col min="13579" max="13579" width="4.7109375" style="104" customWidth="1"/>
    <col min="13580" max="13580" width="21.140625" style="104" customWidth="1"/>
    <col min="13581" max="13581" width="19.42578125" style="104" customWidth="1"/>
    <col min="13582" max="13582" width="28.85546875" style="104" bestFit="1" customWidth="1"/>
    <col min="13583" max="13583" width="3.140625" style="104" customWidth="1"/>
    <col min="13584" max="13584" width="21.85546875" style="104" customWidth="1"/>
    <col min="13585" max="13585" width="11.42578125" style="104" customWidth="1"/>
    <col min="13586" max="13586" width="20.5703125" style="104" bestFit="1" customWidth="1"/>
    <col min="13587" max="13824" width="11.42578125" style="104"/>
    <col min="13825" max="13825" width="4.7109375" style="104" customWidth="1"/>
    <col min="13826" max="13826" width="7.85546875" style="104" customWidth="1"/>
    <col min="13827" max="13827" width="1.85546875" style="104" customWidth="1"/>
    <col min="13828" max="13828" width="56" style="104" customWidth="1"/>
    <col min="13829" max="13829" width="37.28515625" style="104" customWidth="1"/>
    <col min="13830" max="13830" width="26.140625" style="104" customWidth="1"/>
    <col min="13831" max="13831" width="20.7109375" style="104" customWidth="1"/>
    <col min="13832" max="13832" width="18.85546875" style="104" customWidth="1"/>
    <col min="13833" max="13833" width="9.85546875" style="104" customWidth="1"/>
    <col min="13834" max="13834" width="21.85546875" style="104" bestFit="1" customWidth="1"/>
    <col min="13835" max="13835" width="4.7109375" style="104" customWidth="1"/>
    <col min="13836" max="13836" width="21.140625" style="104" customWidth="1"/>
    <col min="13837" max="13837" width="19.42578125" style="104" customWidth="1"/>
    <col min="13838" max="13838" width="28.85546875" style="104" bestFit="1" customWidth="1"/>
    <col min="13839" max="13839" width="3.140625" style="104" customWidth="1"/>
    <col min="13840" max="13840" width="21.85546875" style="104" customWidth="1"/>
    <col min="13841" max="13841" width="11.42578125" style="104" customWidth="1"/>
    <col min="13842" max="13842" width="20.5703125" style="104" bestFit="1" customWidth="1"/>
    <col min="13843" max="14080" width="11.42578125" style="104"/>
    <col min="14081" max="14081" width="4.7109375" style="104" customWidth="1"/>
    <col min="14082" max="14082" width="7.85546875" style="104" customWidth="1"/>
    <col min="14083" max="14083" width="1.85546875" style="104" customWidth="1"/>
    <col min="14084" max="14084" width="56" style="104" customWidth="1"/>
    <col min="14085" max="14085" width="37.28515625" style="104" customWidth="1"/>
    <col min="14086" max="14086" width="26.140625" style="104" customWidth="1"/>
    <col min="14087" max="14087" width="20.7109375" style="104" customWidth="1"/>
    <col min="14088" max="14088" width="18.85546875" style="104" customWidth="1"/>
    <col min="14089" max="14089" width="9.85546875" style="104" customWidth="1"/>
    <col min="14090" max="14090" width="21.85546875" style="104" bestFit="1" customWidth="1"/>
    <col min="14091" max="14091" width="4.7109375" style="104" customWidth="1"/>
    <col min="14092" max="14092" width="21.140625" style="104" customWidth="1"/>
    <col min="14093" max="14093" width="19.42578125" style="104" customWidth="1"/>
    <col min="14094" max="14094" width="28.85546875" style="104" bestFit="1" customWidth="1"/>
    <col min="14095" max="14095" width="3.140625" style="104" customWidth="1"/>
    <col min="14096" max="14096" width="21.85546875" style="104" customWidth="1"/>
    <col min="14097" max="14097" width="11.42578125" style="104" customWidth="1"/>
    <col min="14098" max="14098" width="20.5703125" style="104" bestFit="1" customWidth="1"/>
    <col min="14099" max="14336" width="11.42578125" style="104"/>
    <col min="14337" max="14337" width="4.7109375" style="104" customWidth="1"/>
    <col min="14338" max="14338" width="7.85546875" style="104" customWidth="1"/>
    <col min="14339" max="14339" width="1.85546875" style="104" customWidth="1"/>
    <col min="14340" max="14340" width="56" style="104" customWidth="1"/>
    <col min="14341" max="14341" width="37.28515625" style="104" customWidth="1"/>
    <col min="14342" max="14342" width="26.140625" style="104" customWidth="1"/>
    <col min="14343" max="14343" width="20.7109375" style="104" customWidth="1"/>
    <col min="14344" max="14344" width="18.85546875" style="104" customWidth="1"/>
    <col min="14345" max="14345" width="9.85546875" style="104" customWidth="1"/>
    <col min="14346" max="14346" width="21.85546875" style="104" bestFit="1" customWidth="1"/>
    <col min="14347" max="14347" width="4.7109375" style="104" customWidth="1"/>
    <col min="14348" max="14348" width="21.140625" style="104" customWidth="1"/>
    <col min="14349" max="14349" width="19.42578125" style="104" customWidth="1"/>
    <col min="14350" max="14350" width="28.85546875" style="104" bestFit="1" customWidth="1"/>
    <col min="14351" max="14351" width="3.140625" style="104" customWidth="1"/>
    <col min="14352" max="14352" width="21.85546875" style="104" customWidth="1"/>
    <col min="14353" max="14353" width="11.42578125" style="104" customWidth="1"/>
    <col min="14354" max="14354" width="20.5703125" style="104" bestFit="1" customWidth="1"/>
    <col min="14355" max="14592" width="11.42578125" style="104"/>
    <col min="14593" max="14593" width="4.7109375" style="104" customWidth="1"/>
    <col min="14594" max="14594" width="7.85546875" style="104" customWidth="1"/>
    <col min="14595" max="14595" width="1.85546875" style="104" customWidth="1"/>
    <col min="14596" max="14596" width="56" style="104" customWidth="1"/>
    <col min="14597" max="14597" width="37.28515625" style="104" customWidth="1"/>
    <col min="14598" max="14598" width="26.140625" style="104" customWidth="1"/>
    <col min="14599" max="14599" width="20.7109375" style="104" customWidth="1"/>
    <col min="14600" max="14600" width="18.85546875" style="104" customWidth="1"/>
    <col min="14601" max="14601" width="9.85546875" style="104" customWidth="1"/>
    <col min="14602" max="14602" width="21.85546875" style="104" bestFit="1" customWidth="1"/>
    <col min="14603" max="14603" width="4.7109375" style="104" customWidth="1"/>
    <col min="14604" max="14604" width="21.140625" style="104" customWidth="1"/>
    <col min="14605" max="14605" width="19.42578125" style="104" customWidth="1"/>
    <col min="14606" max="14606" width="28.85546875" style="104" bestFit="1" customWidth="1"/>
    <col min="14607" max="14607" width="3.140625" style="104" customWidth="1"/>
    <col min="14608" max="14608" width="21.85546875" style="104" customWidth="1"/>
    <col min="14609" max="14609" width="11.42578125" style="104" customWidth="1"/>
    <col min="14610" max="14610" width="20.5703125" style="104" bestFit="1" customWidth="1"/>
    <col min="14611" max="14848" width="11.42578125" style="104"/>
    <col min="14849" max="14849" width="4.7109375" style="104" customWidth="1"/>
    <col min="14850" max="14850" width="7.85546875" style="104" customWidth="1"/>
    <col min="14851" max="14851" width="1.85546875" style="104" customWidth="1"/>
    <col min="14852" max="14852" width="56" style="104" customWidth="1"/>
    <col min="14853" max="14853" width="37.28515625" style="104" customWidth="1"/>
    <col min="14854" max="14854" width="26.140625" style="104" customWidth="1"/>
    <col min="14855" max="14855" width="20.7109375" style="104" customWidth="1"/>
    <col min="14856" max="14856" width="18.85546875" style="104" customWidth="1"/>
    <col min="14857" max="14857" width="9.85546875" style="104" customWidth="1"/>
    <col min="14858" max="14858" width="21.85546875" style="104" bestFit="1" customWidth="1"/>
    <col min="14859" max="14859" width="4.7109375" style="104" customWidth="1"/>
    <col min="14860" max="14860" width="21.140625" style="104" customWidth="1"/>
    <col min="14861" max="14861" width="19.42578125" style="104" customWidth="1"/>
    <col min="14862" max="14862" width="28.85546875" style="104" bestFit="1" customWidth="1"/>
    <col min="14863" max="14863" width="3.140625" style="104" customWidth="1"/>
    <col min="14864" max="14864" width="21.85546875" style="104" customWidth="1"/>
    <col min="14865" max="14865" width="11.42578125" style="104" customWidth="1"/>
    <col min="14866" max="14866" width="20.5703125" style="104" bestFit="1" customWidth="1"/>
    <col min="14867" max="15104" width="11.42578125" style="104"/>
    <col min="15105" max="15105" width="4.7109375" style="104" customWidth="1"/>
    <col min="15106" max="15106" width="7.85546875" style="104" customWidth="1"/>
    <col min="15107" max="15107" width="1.85546875" style="104" customWidth="1"/>
    <col min="15108" max="15108" width="56" style="104" customWidth="1"/>
    <col min="15109" max="15109" width="37.28515625" style="104" customWidth="1"/>
    <col min="15110" max="15110" width="26.140625" style="104" customWidth="1"/>
    <col min="15111" max="15111" width="20.7109375" style="104" customWidth="1"/>
    <col min="15112" max="15112" width="18.85546875" style="104" customWidth="1"/>
    <col min="15113" max="15113" width="9.85546875" style="104" customWidth="1"/>
    <col min="15114" max="15114" width="21.85546875" style="104" bestFit="1" customWidth="1"/>
    <col min="15115" max="15115" width="4.7109375" style="104" customWidth="1"/>
    <col min="15116" max="15116" width="21.140625" style="104" customWidth="1"/>
    <col min="15117" max="15117" width="19.42578125" style="104" customWidth="1"/>
    <col min="15118" max="15118" width="28.85546875" style="104" bestFit="1" customWidth="1"/>
    <col min="15119" max="15119" width="3.140625" style="104" customWidth="1"/>
    <col min="15120" max="15120" width="21.85546875" style="104" customWidth="1"/>
    <col min="15121" max="15121" width="11.42578125" style="104" customWidth="1"/>
    <col min="15122" max="15122" width="20.5703125" style="104" bestFit="1" customWidth="1"/>
    <col min="15123" max="15360" width="11.42578125" style="104"/>
    <col min="15361" max="15361" width="4.7109375" style="104" customWidth="1"/>
    <col min="15362" max="15362" width="7.85546875" style="104" customWidth="1"/>
    <col min="15363" max="15363" width="1.85546875" style="104" customWidth="1"/>
    <col min="15364" max="15364" width="56" style="104" customWidth="1"/>
    <col min="15365" max="15365" width="37.28515625" style="104" customWidth="1"/>
    <col min="15366" max="15366" width="26.140625" style="104" customWidth="1"/>
    <col min="15367" max="15367" width="20.7109375" style="104" customWidth="1"/>
    <col min="15368" max="15368" width="18.85546875" style="104" customWidth="1"/>
    <col min="15369" max="15369" width="9.85546875" style="104" customWidth="1"/>
    <col min="15370" max="15370" width="21.85546875" style="104" bestFit="1" customWidth="1"/>
    <col min="15371" max="15371" width="4.7109375" style="104" customWidth="1"/>
    <col min="15372" max="15372" width="21.140625" style="104" customWidth="1"/>
    <col min="15373" max="15373" width="19.42578125" style="104" customWidth="1"/>
    <col min="15374" max="15374" width="28.85546875" style="104" bestFit="1" customWidth="1"/>
    <col min="15375" max="15375" width="3.140625" style="104" customWidth="1"/>
    <col min="15376" max="15376" width="21.85546875" style="104" customWidth="1"/>
    <col min="15377" max="15377" width="11.42578125" style="104" customWidth="1"/>
    <col min="15378" max="15378" width="20.5703125" style="104" bestFit="1" customWidth="1"/>
    <col min="15379" max="15616" width="11.42578125" style="104"/>
    <col min="15617" max="15617" width="4.7109375" style="104" customWidth="1"/>
    <col min="15618" max="15618" width="7.85546875" style="104" customWidth="1"/>
    <col min="15619" max="15619" width="1.85546875" style="104" customWidth="1"/>
    <col min="15620" max="15620" width="56" style="104" customWidth="1"/>
    <col min="15621" max="15621" width="37.28515625" style="104" customWidth="1"/>
    <col min="15622" max="15622" width="26.140625" style="104" customWidth="1"/>
    <col min="15623" max="15623" width="20.7109375" style="104" customWidth="1"/>
    <col min="15624" max="15624" width="18.85546875" style="104" customWidth="1"/>
    <col min="15625" max="15625" width="9.85546875" style="104" customWidth="1"/>
    <col min="15626" max="15626" width="21.85546875" style="104" bestFit="1" customWidth="1"/>
    <col min="15627" max="15627" width="4.7109375" style="104" customWidth="1"/>
    <col min="15628" max="15628" width="21.140625" style="104" customWidth="1"/>
    <col min="15629" max="15629" width="19.42578125" style="104" customWidth="1"/>
    <col min="15630" max="15630" width="28.85546875" style="104" bestFit="1" customWidth="1"/>
    <col min="15631" max="15631" width="3.140625" style="104" customWidth="1"/>
    <col min="15632" max="15632" width="21.85546875" style="104" customWidth="1"/>
    <col min="15633" max="15633" width="11.42578125" style="104" customWidth="1"/>
    <col min="15634" max="15634" width="20.5703125" style="104" bestFit="1" customWidth="1"/>
    <col min="15635" max="15872" width="11.42578125" style="104"/>
    <col min="15873" max="15873" width="4.7109375" style="104" customWidth="1"/>
    <col min="15874" max="15874" width="7.85546875" style="104" customWidth="1"/>
    <col min="15875" max="15875" width="1.85546875" style="104" customWidth="1"/>
    <col min="15876" max="15876" width="56" style="104" customWidth="1"/>
    <col min="15877" max="15877" width="37.28515625" style="104" customWidth="1"/>
    <col min="15878" max="15878" width="26.140625" style="104" customWidth="1"/>
    <col min="15879" max="15879" width="20.7109375" style="104" customWidth="1"/>
    <col min="15880" max="15880" width="18.85546875" style="104" customWidth="1"/>
    <col min="15881" max="15881" width="9.85546875" style="104" customWidth="1"/>
    <col min="15882" max="15882" width="21.85546875" style="104" bestFit="1" customWidth="1"/>
    <col min="15883" max="15883" width="4.7109375" style="104" customWidth="1"/>
    <col min="15884" max="15884" width="21.140625" style="104" customWidth="1"/>
    <col min="15885" max="15885" width="19.42578125" style="104" customWidth="1"/>
    <col min="15886" max="15886" width="28.85546875" style="104" bestFit="1" customWidth="1"/>
    <col min="15887" max="15887" width="3.140625" style="104" customWidth="1"/>
    <col min="15888" max="15888" width="21.85546875" style="104" customWidth="1"/>
    <col min="15889" max="15889" width="11.42578125" style="104" customWidth="1"/>
    <col min="15890" max="15890" width="20.5703125" style="104" bestFit="1" customWidth="1"/>
    <col min="15891" max="16128" width="11.42578125" style="104"/>
    <col min="16129" max="16129" width="4.7109375" style="104" customWidth="1"/>
    <col min="16130" max="16130" width="7.85546875" style="104" customWidth="1"/>
    <col min="16131" max="16131" width="1.85546875" style="104" customWidth="1"/>
    <col min="16132" max="16132" width="56" style="104" customWidth="1"/>
    <col min="16133" max="16133" width="37.28515625" style="104" customWidth="1"/>
    <col min="16134" max="16134" width="26.140625" style="104" customWidth="1"/>
    <col min="16135" max="16135" width="20.7109375" style="104" customWidth="1"/>
    <col min="16136" max="16136" width="18.85546875" style="104" customWidth="1"/>
    <col min="16137" max="16137" width="9.85546875" style="104" customWidth="1"/>
    <col min="16138" max="16138" width="21.85546875" style="104" bestFit="1" customWidth="1"/>
    <col min="16139" max="16139" width="4.7109375" style="104" customWidth="1"/>
    <col min="16140" max="16140" width="21.140625" style="104" customWidth="1"/>
    <col min="16141" max="16141" width="19.42578125" style="104" customWidth="1"/>
    <col min="16142" max="16142" width="28.85546875" style="104" bestFit="1" customWidth="1"/>
    <col min="16143" max="16143" width="3.140625" style="104" customWidth="1"/>
    <col min="16144" max="16144" width="21.85546875" style="104" customWidth="1"/>
    <col min="16145" max="16145" width="11.42578125" style="104" customWidth="1"/>
    <col min="16146" max="16146" width="20.5703125" style="104" bestFit="1" customWidth="1"/>
    <col min="16147" max="16384" width="11.42578125" style="104"/>
  </cols>
  <sheetData>
    <row r="1" spans="2:16" ht="15.75">
      <c r="B1" s="336"/>
      <c r="C1" s="192"/>
      <c r="D1" s="318"/>
      <c r="E1" s="145"/>
      <c r="F1" s="145"/>
      <c r="G1" s="144"/>
      <c r="H1" s="192"/>
      <c r="I1" s="249"/>
      <c r="J1" s="249"/>
      <c r="K1" s="249"/>
      <c r="L1" s="120"/>
      <c r="M1" s="120"/>
      <c r="N1" s="409">
        <f>'[3]OKT Historic TCOS'!O1</f>
        <v>2014</v>
      </c>
    </row>
    <row r="2" spans="2:16">
      <c r="B2" s="336"/>
      <c r="C2" s="192"/>
      <c r="D2" s="120"/>
      <c r="E2" s="192"/>
      <c r="F2" s="192"/>
      <c r="G2" s="192"/>
      <c r="H2" s="192"/>
      <c r="I2" s="192"/>
      <c r="J2" s="192"/>
      <c r="K2" s="192"/>
      <c r="L2" s="192"/>
      <c r="M2" s="120"/>
      <c r="N2" s="409">
        <f>'[3]OKT Historic TCOS'!O2</f>
        <v>2015</v>
      </c>
    </row>
    <row r="3" spans="2:16">
      <c r="B3" s="336"/>
      <c r="C3" s="192"/>
      <c r="D3" s="119"/>
      <c r="E3" s="119"/>
      <c r="F3" s="408" t="s">
        <v>543</v>
      </c>
      <c r="G3" s="407"/>
      <c r="H3" s="404"/>
      <c r="J3" s="135"/>
      <c r="K3" s="138"/>
      <c r="L3" s="138"/>
      <c r="M3" s="403"/>
    </row>
    <row r="4" spans="2:16">
      <c r="B4" s="336"/>
      <c r="C4" s="192"/>
      <c r="D4" s="119"/>
      <c r="E4" s="139"/>
      <c r="F4" s="406" t="s">
        <v>542</v>
      </c>
      <c r="G4" s="404"/>
      <c r="H4" s="404"/>
      <c r="J4" s="139"/>
      <c r="K4" s="138"/>
      <c r="L4" s="138"/>
      <c r="M4" s="403"/>
    </row>
    <row r="5" spans="2:16">
      <c r="B5" s="336"/>
      <c r="C5" s="192"/>
      <c r="D5" s="125"/>
      <c r="E5" s="138"/>
      <c r="F5" s="405" t="str">
        <f>"Utilizing Actual Cost Data for "&amp;'[3]OKT Historic TCOS'!O1&amp;" with Average Ratebase Balances"</f>
        <v>Utilizing Actual Cost Data for 2014 with Average Ratebase Balances</v>
      </c>
      <c r="G5" s="404"/>
      <c r="H5" s="404"/>
      <c r="J5" s="138"/>
      <c r="K5" s="138"/>
      <c r="L5" s="138"/>
      <c r="M5" s="403"/>
    </row>
    <row r="6" spans="2:16">
      <c r="B6" s="134"/>
      <c r="C6" s="133"/>
      <c r="D6" s="125"/>
      <c r="H6" s="335"/>
      <c r="I6" s="335"/>
      <c r="J6" s="335"/>
      <c r="K6" s="335"/>
      <c r="L6" s="138"/>
      <c r="M6" s="125"/>
    </row>
    <row r="7" spans="2:16" ht="15.75">
      <c r="B7" s="134"/>
      <c r="C7" s="133"/>
      <c r="D7" s="143"/>
      <c r="E7" s="125"/>
      <c r="F7" s="402" t="str">
        <f>'[3]OKT Historic TCOS'!F7</f>
        <v>AEP OKLAHOMA TRANSMISSION COMPANY, INC</v>
      </c>
      <c r="G7" s="401"/>
      <c r="H7" s="138"/>
      <c r="I7" s="138"/>
      <c r="J7" s="138"/>
      <c r="K7" s="138"/>
      <c r="L7" s="108"/>
      <c r="M7" s="108"/>
      <c r="N7" s="108"/>
    </row>
    <row r="8" spans="2:16">
      <c r="B8" s="134"/>
      <c r="C8" s="133"/>
      <c r="D8" s="125"/>
      <c r="E8" s="138"/>
      <c r="F8" s="400"/>
      <c r="G8" s="399"/>
      <c r="H8" s="138"/>
      <c r="I8" s="138"/>
      <c r="J8" s="138"/>
      <c r="K8" s="138"/>
      <c r="L8" s="108"/>
      <c r="M8" s="108"/>
      <c r="N8" s="108"/>
    </row>
    <row r="9" spans="2:16">
      <c r="B9" s="134" t="s">
        <v>541</v>
      </c>
      <c r="C9" s="133"/>
      <c r="D9" s="138"/>
      <c r="E9" s="138"/>
      <c r="F9" s="138"/>
      <c r="G9" s="399"/>
      <c r="H9" s="138"/>
      <c r="I9" s="138"/>
      <c r="J9" s="138"/>
      <c r="K9" s="138"/>
      <c r="L9" s="133" t="s">
        <v>455</v>
      </c>
      <c r="M9" s="108"/>
      <c r="N9" s="398" t="s">
        <v>540</v>
      </c>
      <c r="O9" s="151"/>
      <c r="P9" s="398" t="s">
        <v>539</v>
      </c>
    </row>
    <row r="10" spans="2:16" ht="15.75" thickBot="1">
      <c r="B10" s="243" t="s">
        <v>388</v>
      </c>
      <c r="C10" s="132"/>
      <c r="D10" s="138"/>
      <c r="E10" s="132"/>
      <c r="F10" s="138"/>
      <c r="G10" s="138"/>
      <c r="H10" s="138"/>
      <c r="I10" s="138"/>
      <c r="J10" s="138"/>
      <c r="K10" s="138"/>
      <c r="L10" s="394" t="s">
        <v>538</v>
      </c>
      <c r="M10" s="108"/>
      <c r="N10" s="171"/>
      <c r="O10" s="151"/>
      <c r="P10" s="171"/>
    </row>
    <row r="11" spans="2:16">
      <c r="B11" s="134">
        <v>1</v>
      </c>
      <c r="C11" s="133"/>
      <c r="D11" s="397" t="s">
        <v>537</v>
      </c>
      <c r="E11" s="125" t="str">
        <f>"(ln "&amp;B178&amp;")"</f>
        <v>(ln 106)</v>
      </c>
      <c r="F11" s="125"/>
      <c r="G11" s="392"/>
      <c r="H11" s="362"/>
      <c r="I11" s="138"/>
      <c r="J11" s="138"/>
      <c r="K11" s="138"/>
      <c r="L11" s="136">
        <f>+L178</f>
        <v>34796978.075174853</v>
      </c>
      <c r="M11" s="108"/>
      <c r="N11" s="396">
        <v>36313292.061433196</v>
      </c>
      <c r="O11" s="151"/>
      <c r="P11" s="396">
        <f t="shared" ref="P11:P49" si="0">IF(N11="","",N11-L11)</f>
        <v>1516313.9862583429</v>
      </c>
    </row>
    <row r="12" spans="2:16" ht="15.75" thickBot="1">
      <c r="B12" s="134"/>
      <c r="C12" s="133"/>
      <c r="E12" s="395"/>
      <c r="F12" s="131"/>
      <c r="G12" s="394" t="s">
        <v>372</v>
      </c>
      <c r="H12" s="139"/>
      <c r="I12" s="393" t="s">
        <v>520</v>
      </c>
      <c r="J12" s="393"/>
      <c r="K12" s="138"/>
      <c r="L12" s="392"/>
      <c r="M12" s="108"/>
      <c r="N12" s="391"/>
      <c r="O12" s="151"/>
      <c r="P12" s="391" t="str">
        <f t="shared" si="0"/>
        <v/>
      </c>
    </row>
    <row r="13" spans="2:16">
      <c r="B13" s="134">
        <f>+B11+1</f>
        <v>2</v>
      </c>
      <c r="C13" s="133"/>
      <c r="D13" s="373" t="s">
        <v>536</v>
      </c>
      <c r="E13" s="305" t="s">
        <v>535</v>
      </c>
      <c r="F13" s="131"/>
      <c r="G13" s="237"/>
      <c r="H13" s="131"/>
      <c r="I13" s="175"/>
      <c r="J13" s="214"/>
      <c r="K13" s="139"/>
      <c r="L13" s="387"/>
      <c r="M13" s="108"/>
      <c r="N13" s="386"/>
      <c r="O13" s="151"/>
      <c r="P13" s="386" t="str">
        <f t="shared" si="0"/>
        <v/>
      </c>
    </row>
    <row r="14" spans="2:16">
      <c r="B14" s="134">
        <f>+B13+1</f>
        <v>3</v>
      </c>
      <c r="C14" s="133"/>
      <c r="D14" s="135" t="s">
        <v>534</v>
      </c>
      <c r="E14" s="303" t="s">
        <v>532</v>
      </c>
      <c r="F14" s="131"/>
      <c r="G14" s="237">
        <f>+'[3]OKT WS H Rev Credits'!M46</f>
        <v>1605736.140000008</v>
      </c>
      <c r="H14" s="131"/>
      <c r="I14" s="175" t="s">
        <v>269</v>
      </c>
      <c r="J14" s="214">
        <f>VLOOKUP(I14,PSO_TU_Allocators,2,FALSE)</f>
        <v>1</v>
      </c>
      <c r="K14" s="139"/>
      <c r="L14" s="387">
        <f>+J14*G14</f>
        <v>1605736.140000008</v>
      </c>
      <c r="M14" s="108"/>
      <c r="N14" s="386">
        <v>1605736.140000008</v>
      </c>
      <c r="O14" s="151"/>
      <c r="P14" s="386">
        <f t="shared" si="0"/>
        <v>0</v>
      </c>
    </row>
    <row r="15" spans="2:16">
      <c r="B15" s="134">
        <f>+B14+1</f>
        <v>4</v>
      </c>
      <c r="C15" s="133"/>
      <c r="D15" s="135" t="s">
        <v>533</v>
      </c>
      <c r="E15" s="303" t="s">
        <v>532</v>
      </c>
      <c r="F15" s="131"/>
      <c r="G15" s="390">
        <f>+'[3]OKT WS H Rev Credits'!M28</f>
        <v>0</v>
      </c>
      <c r="H15" s="131"/>
      <c r="I15" s="175" t="s">
        <v>269</v>
      </c>
      <c r="J15" s="214">
        <f>VLOOKUP(I15,PSO_TU_Allocators,2,FALSE)</f>
        <v>1</v>
      </c>
      <c r="K15" s="139"/>
      <c r="L15" s="389">
        <f>+J15*G15</f>
        <v>0</v>
      </c>
      <c r="M15" s="108"/>
      <c r="N15" s="388">
        <v>0</v>
      </c>
      <c r="O15" s="151"/>
      <c r="P15" s="388">
        <f t="shared" si="0"/>
        <v>0</v>
      </c>
    </row>
    <row r="16" spans="2:16">
      <c r="B16" s="134">
        <f>+B15+1</f>
        <v>5</v>
      </c>
      <c r="C16" s="133"/>
      <c r="D16" s="135" t="s">
        <v>531</v>
      </c>
      <c r="E16" s="138"/>
      <c r="F16" s="131"/>
      <c r="G16" s="237">
        <f>+G14+G15</f>
        <v>1605736.140000008</v>
      </c>
      <c r="H16" s="131"/>
      <c r="I16" s="175"/>
      <c r="J16" s="214"/>
      <c r="K16" s="139"/>
      <c r="L16" s="387">
        <f>+L15+L14</f>
        <v>1605736.140000008</v>
      </c>
      <c r="M16" s="108"/>
      <c r="N16" s="386">
        <v>1605736.140000008</v>
      </c>
      <c r="O16" s="151"/>
      <c r="P16" s="386">
        <f t="shared" si="0"/>
        <v>0</v>
      </c>
    </row>
    <row r="17" spans="2:16">
      <c r="B17" s="134"/>
      <c r="C17" s="133"/>
      <c r="D17" s="373"/>
      <c r="F17" s="139"/>
      <c r="L17" s="385"/>
      <c r="M17" s="108"/>
      <c r="N17" s="384"/>
      <c r="O17" s="151"/>
      <c r="P17" s="384" t="str">
        <f t="shared" si="0"/>
        <v/>
      </c>
    </row>
    <row r="18" spans="2:16" ht="30.75" thickBot="1">
      <c r="B18" s="115">
        <f>+B16+1</f>
        <v>6</v>
      </c>
      <c r="C18" s="114"/>
      <c r="D18" s="383" t="s">
        <v>530</v>
      </c>
      <c r="E18" s="305" t="str">
        <f>"(ln "&amp;B11&amp;" less ln " &amp;B16&amp;")"</f>
        <v>(ln 1 less ln 5)</v>
      </c>
      <c r="F18" s="138"/>
      <c r="H18" s="139"/>
      <c r="I18" s="204"/>
      <c r="J18" s="139"/>
      <c r="K18" s="139"/>
      <c r="L18" s="382">
        <f>+L11-L16</f>
        <v>33191241.935174845</v>
      </c>
      <c r="M18" s="108"/>
      <c r="N18" s="381">
        <v>34707555.921433188</v>
      </c>
      <c r="O18" s="151"/>
      <c r="P18" s="381">
        <f t="shared" si="0"/>
        <v>1516313.9862583429</v>
      </c>
    </row>
    <row r="19" spans="2:16" ht="15.75" thickTop="1">
      <c r="B19" s="115"/>
      <c r="C19" s="114"/>
      <c r="D19" s="373"/>
      <c r="E19" s="303"/>
      <c r="F19" s="138"/>
      <c r="H19" s="139"/>
      <c r="I19" s="204"/>
      <c r="J19" s="139"/>
      <c r="K19" s="139"/>
      <c r="L19" s="380"/>
      <c r="M19" s="108"/>
      <c r="N19" s="377"/>
      <c r="O19" s="151"/>
      <c r="P19" s="377" t="str">
        <f t="shared" si="0"/>
        <v/>
      </c>
    </row>
    <row r="20" spans="2:16" ht="15" customHeight="1">
      <c r="B20" s="479" t="str">
        <f>"MEMO:  The Carrying Charge Calculations on lines "&amp;B26&amp;" to "&amp;B33&amp;" below is used in calculating project revenue requirements billed on SPP Schedule 11.  The total non-incentive revenue requirements for these projects shown on line "&amp;B23&amp;" is included in the total on line "&amp;B18&amp;"."</f>
        <v>MEMO:  The Carrying Charge Calculations on lines 9 to 14 below is used in calculating project revenue requirements billed on SPP Schedule 11.  The total non-incentive revenue requirements for these projects shown on line 7 is included in the total on line 6.</v>
      </c>
      <c r="C20" s="479"/>
      <c r="D20" s="479"/>
      <c r="E20" s="479"/>
      <c r="F20" s="479"/>
      <c r="G20" s="479"/>
      <c r="H20" s="479"/>
      <c r="I20" s="479"/>
      <c r="J20" s="108"/>
      <c r="M20" s="108"/>
      <c r="N20" s="151"/>
      <c r="O20" s="151"/>
      <c r="P20" s="151" t="str">
        <f t="shared" si="0"/>
        <v/>
      </c>
    </row>
    <row r="21" spans="2:16" ht="15" customHeight="1">
      <c r="B21" s="479"/>
      <c r="C21" s="479"/>
      <c r="D21" s="479"/>
      <c r="E21" s="479"/>
      <c r="F21" s="479"/>
      <c r="G21" s="479"/>
      <c r="H21" s="479"/>
      <c r="I21" s="479"/>
      <c r="J21" s="108"/>
      <c r="K21" s="108"/>
      <c r="L21" s="108"/>
      <c r="M21" s="108"/>
      <c r="N21" s="317"/>
      <c r="O21" s="151"/>
      <c r="P21" s="317" t="str">
        <f t="shared" si="0"/>
        <v/>
      </c>
    </row>
    <row r="22" spans="2:16" ht="15" customHeight="1">
      <c r="B22" s="379"/>
      <c r="C22" s="379"/>
      <c r="D22" s="379"/>
      <c r="E22" s="379"/>
      <c r="F22" s="379"/>
      <c r="G22" s="379"/>
      <c r="H22" s="379"/>
      <c r="I22" s="379"/>
      <c r="M22" s="108"/>
      <c r="N22" s="151"/>
      <c r="O22" s="151"/>
      <c r="P22" s="151" t="str">
        <f t="shared" si="0"/>
        <v/>
      </c>
    </row>
    <row r="23" spans="2:16">
      <c r="B23" s="134">
        <f>+B18+1</f>
        <v>7</v>
      </c>
      <c r="C23" s="114"/>
      <c r="D23" s="480" t="s">
        <v>529</v>
      </c>
      <c r="E23" s="474"/>
      <c r="F23" s="131"/>
      <c r="G23" s="154">
        <f>+'[3]OKT WS G BPU ATRR True-up'!N18</f>
        <v>6150575.2618603474</v>
      </c>
      <c r="H23" s="131"/>
      <c r="I23" s="175" t="s">
        <v>269</v>
      </c>
      <c r="J23" s="214">
        <f>VLOOKUP(I23,PSO_TU_Allocators,2,FALSE)</f>
        <v>1</v>
      </c>
      <c r="K23" s="125"/>
      <c r="L23" s="378">
        <f>+J23*G23</f>
        <v>6150575.2618603474</v>
      </c>
      <c r="M23" s="108"/>
      <c r="N23" s="377">
        <v>6150575.2618603474</v>
      </c>
      <c r="O23" s="151"/>
      <c r="P23" s="377">
        <f t="shared" si="0"/>
        <v>0</v>
      </c>
    </row>
    <row r="24" spans="2:16">
      <c r="B24" s="134"/>
      <c r="C24" s="114"/>
      <c r="D24" s="474"/>
      <c r="E24" s="474"/>
      <c r="F24" s="131"/>
      <c r="G24" s="154"/>
      <c r="H24" s="131"/>
      <c r="I24" s="131"/>
      <c r="J24" s="214"/>
      <c r="K24" s="125"/>
      <c r="L24" s="378"/>
      <c r="M24" s="108"/>
      <c r="N24" s="377"/>
      <c r="O24" s="151"/>
      <c r="P24" s="377" t="str">
        <f t="shared" si="0"/>
        <v/>
      </c>
    </row>
    <row r="25" spans="2:16">
      <c r="B25" s="115">
        <f>+B23+1</f>
        <v>8</v>
      </c>
      <c r="C25" s="114"/>
      <c r="D25" s="373" t="s">
        <v>528</v>
      </c>
      <c r="E25" s="305"/>
      <c r="F25" s="138"/>
      <c r="G25" s="376"/>
      <c r="H25" s="138"/>
      <c r="I25" s="192"/>
      <c r="J25" s="138"/>
      <c r="K25" s="138"/>
      <c r="M25" s="108"/>
      <c r="N25" s="151"/>
      <c r="O25" s="151"/>
      <c r="P25" s="151" t="str">
        <f t="shared" si="0"/>
        <v/>
      </c>
    </row>
    <row r="26" spans="2:16">
      <c r="B26" s="134">
        <f>B25+1</f>
        <v>9</v>
      </c>
      <c r="C26" s="114"/>
      <c r="D26" s="135" t="s">
        <v>526</v>
      </c>
      <c r="E26" s="125" t="str">
        <f>"(ln "&amp;B11&amp;"/ ln "&amp;B79&amp;" x 100%)"</f>
        <v>(ln 1/ ln 39 x 100%)</v>
      </c>
      <c r="F26" s="133"/>
      <c r="G26" s="133"/>
      <c r="H26" s="133"/>
      <c r="I26" s="365"/>
      <c r="J26" s="365"/>
      <c r="K26" s="365"/>
      <c r="L26" s="364">
        <f>IF(L79=0,0,(L11)/L79)</f>
        <v>0.12845934049750427</v>
      </c>
      <c r="M26" s="108"/>
      <c r="N26" s="363">
        <v>0.12845377456501628</v>
      </c>
      <c r="O26" s="151"/>
      <c r="P26" s="363">
        <f t="shared" si="0"/>
        <v>-5.5659324879886451E-6</v>
      </c>
    </row>
    <row r="27" spans="2:16">
      <c r="B27" s="134">
        <f>B26+1</f>
        <v>10</v>
      </c>
      <c r="C27" s="114"/>
      <c r="D27" s="135" t="s">
        <v>527</v>
      </c>
      <c r="E27" s="125" t="str">
        <f>"(ln "&amp;B26&amp;" / 12)"</f>
        <v>(ln 9 / 12)</v>
      </c>
      <c r="F27" s="133"/>
      <c r="G27" s="133"/>
      <c r="H27" s="133"/>
      <c r="I27" s="365"/>
      <c r="J27" s="365"/>
      <c r="K27" s="365"/>
      <c r="L27" s="375">
        <f>L26/12</f>
        <v>1.0704945041458689E-2</v>
      </c>
      <c r="M27" s="108"/>
      <c r="N27" s="374">
        <v>1.0704481213751357E-2</v>
      </c>
      <c r="O27" s="151"/>
      <c r="P27" s="374">
        <f t="shared" si="0"/>
        <v>-4.638277073323871E-7</v>
      </c>
    </row>
    <row r="28" spans="2:16">
      <c r="B28" s="134"/>
      <c r="C28" s="114"/>
      <c r="D28" s="135"/>
      <c r="E28" s="125"/>
      <c r="F28" s="133"/>
      <c r="G28" s="133"/>
      <c r="H28" s="133"/>
      <c r="I28" s="365"/>
      <c r="J28" s="365"/>
      <c r="K28" s="365"/>
      <c r="L28" s="375"/>
      <c r="M28" s="108"/>
      <c r="N28" s="374"/>
      <c r="O28" s="151"/>
      <c r="P28" s="374" t="str">
        <f t="shared" si="0"/>
        <v/>
      </c>
    </row>
    <row r="29" spans="2:16">
      <c r="B29" s="134">
        <f>B27+1</f>
        <v>11</v>
      </c>
      <c r="C29" s="114"/>
      <c r="D29" s="373" t="str">
        <f>"NET PLANT CARRYING CHARGE ON LINE "&amp;B26&amp;" , W/O DEPRECIATION (w/o incentives) (Note B)"</f>
        <v>NET PLANT CARRYING CHARGE ON LINE 9 , W/O DEPRECIATION (w/o incentives) (Note B)</v>
      </c>
      <c r="E29" s="125"/>
      <c r="F29" s="133"/>
      <c r="G29" s="133"/>
      <c r="H29" s="133"/>
      <c r="I29" s="365"/>
      <c r="J29" s="365"/>
      <c r="K29" s="365"/>
      <c r="L29" s="375"/>
      <c r="M29" s="108"/>
      <c r="N29" s="374"/>
      <c r="O29" s="151"/>
      <c r="P29" s="374" t="str">
        <f t="shared" si="0"/>
        <v/>
      </c>
    </row>
    <row r="30" spans="2:16">
      <c r="B30" s="134">
        <f>B29+1</f>
        <v>12</v>
      </c>
      <c r="C30" s="114"/>
      <c r="D30" s="135" t="s">
        <v>526</v>
      </c>
      <c r="E30" s="125" t="str">
        <f>"( (ln "&amp;B11&amp;" - ln "&amp;B147&amp;") / ln "&amp;B79&amp;" x 100%)"</f>
        <v>( (ln 1 - ln 82) / ln 39 x 100%)</v>
      </c>
      <c r="F30" s="133"/>
      <c r="G30" s="133"/>
      <c r="H30" s="133"/>
      <c r="I30" s="365"/>
      <c r="J30" s="365"/>
      <c r="K30" s="365"/>
      <c r="L30" s="364">
        <f>IF(L79=0,0,(L11-L147)/L79)</f>
        <v>0.107542631429016</v>
      </c>
      <c r="M30" s="108"/>
      <c r="N30" s="363">
        <v>0.10754342775049905</v>
      </c>
      <c r="O30" s="151"/>
      <c r="P30" s="363">
        <f t="shared" si="0"/>
        <v>7.963214830458698E-7</v>
      </c>
    </row>
    <row r="31" spans="2:16">
      <c r="B31" s="134"/>
      <c r="C31" s="114"/>
      <c r="D31" s="135"/>
      <c r="E31" s="125"/>
      <c r="F31" s="133"/>
      <c r="G31" s="133"/>
      <c r="H31" s="133"/>
      <c r="I31" s="365"/>
      <c r="J31" s="365"/>
      <c r="K31" s="365"/>
      <c r="L31" s="375"/>
      <c r="M31" s="108"/>
      <c r="N31" s="374"/>
      <c r="O31" s="151"/>
      <c r="P31" s="374" t="str">
        <f t="shared" si="0"/>
        <v/>
      </c>
    </row>
    <row r="32" spans="2:16">
      <c r="B32" s="134">
        <f>B30+1</f>
        <v>13</v>
      </c>
      <c r="C32" s="114"/>
      <c r="D32" s="373" t="str">
        <f>"NET PLANT CARRYING CHARGE ON LINE "&amp;B29&amp;", W/O  INCOME TAXES, RETURN  (Note B)"</f>
        <v>NET PLANT CARRYING CHARGE ON LINE 11, W/O  INCOME TAXES, RETURN  (Note B)</v>
      </c>
      <c r="E32" s="125"/>
      <c r="F32" s="133"/>
      <c r="G32" s="133"/>
      <c r="H32" s="133"/>
      <c r="I32" s="365"/>
      <c r="J32" s="365"/>
      <c r="K32" s="365"/>
      <c r="L32" s="372"/>
      <c r="M32" s="108"/>
      <c r="N32" s="371"/>
      <c r="O32" s="151"/>
      <c r="P32" s="371" t="str">
        <f t="shared" si="0"/>
        <v/>
      </c>
    </row>
    <row r="33" spans="2:16">
      <c r="B33" s="134">
        <f>B32+1</f>
        <v>14</v>
      </c>
      <c r="C33" s="114"/>
      <c r="D33" s="135" t="s">
        <v>526</v>
      </c>
      <c r="E33" s="125" t="str">
        <f>"( (ln "&amp;B11&amp;" - ln "&amp;B147&amp;" - ln "&amp;B172&amp;" - ln "&amp;B174&amp;") / ln "&amp;B79&amp;" x 100%)"</f>
        <v>( (ln 1 - ln 82 - ln 103 - ln 104) / ln 39 x 100%)</v>
      </c>
      <c r="F33" s="133"/>
      <c r="G33" s="133"/>
      <c r="H33" s="133"/>
      <c r="I33" s="365"/>
      <c r="J33" s="365"/>
      <c r="K33" s="365"/>
      <c r="L33" s="370">
        <f>IF(L79=0,0,(L11-L147-L172-L174)/L79)</f>
        <v>1.7673958573584482E-2</v>
      </c>
      <c r="M33" s="108"/>
      <c r="N33" s="369">
        <v>1.7660868962685525E-2</v>
      </c>
      <c r="O33" s="151"/>
      <c r="P33" s="369">
        <f t="shared" si="0"/>
        <v>-1.3089610898957271E-5</v>
      </c>
    </row>
    <row r="34" spans="2:16">
      <c r="B34" s="134"/>
      <c r="C34" s="114"/>
      <c r="D34" s="135"/>
      <c r="E34" s="125"/>
      <c r="F34" s="133"/>
      <c r="G34" s="133"/>
      <c r="H34" s="133"/>
      <c r="I34" s="365"/>
      <c r="J34" s="365"/>
      <c r="K34" s="365"/>
      <c r="L34" s="364"/>
      <c r="M34" s="108"/>
      <c r="N34" s="363"/>
      <c r="O34" s="151"/>
      <c r="P34" s="363" t="str">
        <f t="shared" si="0"/>
        <v/>
      </c>
    </row>
    <row r="35" spans="2:16">
      <c r="B35" s="134">
        <f>B33+1</f>
        <v>15</v>
      </c>
      <c r="C35" s="133"/>
      <c r="D35" s="368" t="s">
        <v>525</v>
      </c>
      <c r="E35" s="125"/>
      <c r="F35" s="133"/>
      <c r="G35" s="133"/>
      <c r="H35" s="133"/>
      <c r="I35" s="365"/>
      <c r="J35" s="365"/>
      <c r="K35" s="365"/>
      <c r="L35" s="367">
        <f>+'[3]OKT WS G BPU ATRR True-up'!P18</f>
        <v>0</v>
      </c>
      <c r="M35" s="108"/>
      <c r="N35" s="366">
        <v>0</v>
      </c>
      <c r="O35" s="151"/>
      <c r="P35" s="366">
        <f t="shared" si="0"/>
        <v>0</v>
      </c>
    </row>
    <row r="36" spans="2:16">
      <c r="B36" s="134"/>
      <c r="C36" s="133"/>
      <c r="D36" s="192"/>
      <c r="E36" s="125"/>
      <c r="F36" s="133"/>
      <c r="G36" s="133"/>
      <c r="H36" s="133"/>
      <c r="I36" s="365"/>
      <c r="J36" s="365"/>
      <c r="K36" s="365"/>
      <c r="L36" s="364"/>
      <c r="M36" s="108"/>
      <c r="N36" s="363"/>
      <c r="O36" s="151"/>
      <c r="P36" s="363" t="str">
        <f t="shared" si="0"/>
        <v/>
      </c>
    </row>
    <row r="37" spans="2:16">
      <c r="B37" s="104"/>
      <c r="C37" s="133"/>
      <c r="D37" s="192"/>
      <c r="E37" s="125"/>
      <c r="F37" s="133"/>
      <c r="G37" s="133"/>
      <c r="H37" s="133"/>
      <c r="I37" s="365"/>
      <c r="J37" s="365"/>
      <c r="K37" s="365"/>
      <c r="L37" s="364"/>
      <c r="M37" s="108"/>
      <c r="N37" s="363"/>
      <c r="O37" s="151"/>
      <c r="P37" s="363" t="str">
        <f t="shared" si="0"/>
        <v/>
      </c>
    </row>
    <row r="38" spans="2:16">
      <c r="B38" s="134"/>
      <c r="C38" s="133"/>
      <c r="D38" s="192"/>
      <c r="E38" s="125"/>
      <c r="F38" s="133"/>
      <c r="G38" s="133"/>
      <c r="H38" s="133"/>
      <c r="I38" s="365"/>
      <c r="J38" s="365"/>
      <c r="K38" s="365"/>
      <c r="L38" s="364"/>
      <c r="M38" s="108"/>
      <c r="N38" s="363"/>
      <c r="O38" s="151"/>
      <c r="P38" s="363" t="str">
        <f t="shared" si="0"/>
        <v/>
      </c>
    </row>
    <row r="39" spans="2:16">
      <c r="B39" s="134"/>
      <c r="C39" s="133"/>
      <c r="D39" s="192"/>
      <c r="E39" s="125"/>
      <c r="F39" s="133"/>
      <c r="G39" s="133"/>
      <c r="H39" s="133"/>
      <c r="I39" s="365"/>
      <c r="J39" s="365"/>
      <c r="K39" s="365"/>
      <c r="L39" s="364"/>
      <c r="M39" s="108"/>
      <c r="N39" s="363"/>
      <c r="O39" s="151"/>
      <c r="P39" s="363" t="str">
        <f t="shared" si="0"/>
        <v/>
      </c>
    </row>
    <row r="40" spans="2:16">
      <c r="B40" s="336"/>
      <c r="C40" s="192"/>
      <c r="D40" s="135"/>
      <c r="E40" s="135"/>
      <c r="G40" s="362"/>
      <c r="H40" s="135"/>
      <c r="I40" s="135"/>
      <c r="J40" s="135"/>
      <c r="K40" s="135"/>
      <c r="L40" s="135"/>
      <c r="M40" s="108"/>
      <c r="N40" s="245"/>
      <c r="O40" s="151"/>
      <c r="P40" s="245" t="str">
        <f t="shared" si="0"/>
        <v/>
      </c>
    </row>
    <row r="41" spans="2:16">
      <c r="B41" s="336"/>
      <c r="C41" s="192"/>
      <c r="D41" s="135"/>
      <c r="E41" s="135"/>
      <c r="F41" s="133"/>
      <c r="G41" s="362"/>
      <c r="H41" s="135"/>
      <c r="I41" s="135"/>
      <c r="J41" s="135"/>
      <c r="K41" s="135"/>
      <c r="L41" s="135"/>
      <c r="M41" s="108"/>
      <c r="N41" s="245"/>
      <c r="O41" s="151"/>
      <c r="P41" s="245" t="str">
        <f t="shared" si="0"/>
        <v/>
      </c>
    </row>
    <row r="42" spans="2:16">
      <c r="B42" s="336"/>
      <c r="C42" s="192"/>
      <c r="D42" s="135"/>
      <c r="E42" s="135"/>
      <c r="F42" s="133" t="str">
        <f>F3</f>
        <v xml:space="preserve">AEP West SPP Member Companies </v>
      </c>
      <c r="G42" s="362"/>
      <c r="H42" s="135"/>
      <c r="I42" s="135"/>
      <c r="J42" s="135"/>
      <c r="K42" s="135"/>
      <c r="L42" s="135"/>
      <c r="M42" s="108"/>
      <c r="N42" s="245"/>
      <c r="O42" s="151"/>
      <c r="P42" s="245" t="str">
        <f t="shared" si="0"/>
        <v/>
      </c>
    </row>
    <row r="43" spans="2:16">
      <c r="B43" s="336"/>
      <c r="C43" s="192"/>
      <c r="D43" s="135"/>
      <c r="E43" s="139"/>
      <c r="F43" s="133" t="str">
        <f>F4</f>
        <v>Transmission Cost of Service Formula Rate</v>
      </c>
      <c r="G43" s="139"/>
      <c r="H43" s="139"/>
      <c r="I43" s="139"/>
      <c r="J43" s="139"/>
      <c r="K43" s="139"/>
      <c r="L43" s="139"/>
      <c r="M43" s="108"/>
      <c r="N43" s="174"/>
      <c r="O43" s="151"/>
      <c r="P43" s="174" t="str">
        <f t="shared" si="0"/>
        <v/>
      </c>
    </row>
    <row r="44" spans="2:16">
      <c r="B44" s="336"/>
      <c r="C44" s="192"/>
      <c r="D44" s="135"/>
      <c r="E44" s="139"/>
      <c r="F44" s="204" t="str">
        <f>F5</f>
        <v>Utilizing Actual Cost Data for 2014 with Average Ratebase Balances</v>
      </c>
      <c r="G44" s="139"/>
      <c r="H44" s="139"/>
      <c r="I44" s="139"/>
      <c r="J44" s="139"/>
      <c r="K44" s="139"/>
      <c r="L44" s="139"/>
      <c r="M44" s="108"/>
      <c r="N44" s="174"/>
      <c r="O44" s="151"/>
      <c r="P44" s="174" t="str">
        <f t="shared" si="0"/>
        <v/>
      </c>
    </row>
    <row r="45" spans="2:16">
      <c r="B45" s="336"/>
      <c r="C45" s="192"/>
      <c r="D45" s="135"/>
      <c r="E45" s="139"/>
      <c r="F45" s="133"/>
      <c r="G45" s="139"/>
      <c r="H45" s="139"/>
      <c r="I45" s="139"/>
      <c r="J45" s="139"/>
      <c r="K45" s="139"/>
      <c r="L45" s="139"/>
      <c r="M45" s="108"/>
      <c r="N45" s="174"/>
      <c r="O45" s="151"/>
      <c r="P45" s="174" t="str">
        <f t="shared" si="0"/>
        <v/>
      </c>
    </row>
    <row r="46" spans="2:16">
      <c r="B46" s="336"/>
      <c r="C46" s="192"/>
      <c r="D46" s="135"/>
      <c r="E46" s="139"/>
      <c r="F46" s="133" t="str">
        <f>F7</f>
        <v>AEP OKLAHOMA TRANSMISSION COMPANY, INC</v>
      </c>
      <c r="G46" s="139"/>
      <c r="H46" s="139"/>
      <c r="I46" s="139"/>
      <c r="J46" s="139"/>
      <c r="K46" s="139"/>
      <c r="L46" s="139"/>
      <c r="M46" s="108"/>
      <c r="N46" s="174"/>
      <c r="O46" s="151"/>
      <c r="P46" s="174" t="str">
        <f t="shared" si="0"/>
        <v/>
      </c>
    </row>
    <row r="47" spans="2:16">
      <c r="B47" s="336"/>
      <c r="C47" s="192"/>
      <c r="D47" s="135"/>
      <c r="E47" s="204"/>
      <c r="F47" s="204"/>
      <c r="G47" s="204"/>
      <c r="H47" s="204"/>
      <c r="I47" s="204"/>
      <c r="J47" s="204"/>
      <c r="K47" s="204"/>
      <c r="L47" s="139"/>
      <c r="M47" s="108"/>
      <c r="N47" s="174"/>
      <c r="O47" s="151"/>
      <c r="P47" s="174" t="str">
        <f t="shared" si="0"/>
        <v/>
      </c>
    </row>
    <row r="48" spans="2:16">
      <c r="B48" s="336"/>
      <c r="C48" s="192"/>
      <c r="D48" s="133" t="s">
        <v>462</v>
      </c>
      <c r="E48" s="133" t="s">
        <v>461</v>
      </c>
      <c r="F48" s="133"/>
      <c r="G48" s="133" t="s">
        <v>460</v>
      </c>
      <c r="H48" s="139" t="s">
        <v>288</v>
      </c>
      <c r="I48" s="481" t="s">
        <v>459</v>
      </c>
      <c r="J48" s="482"/>
      <c r="K48" s="139"/>
      <c r="L48" s="335" t="s">
        <v>458</v>
      </c>
      <c r="M48" s="108"/>
      <c r="N48" s="334" t="s">
        <v>458</v>
      </c>
      <c r="O48" s="151"/>
      <c r="P48" s="334">
        <f t="shared" si="0"/>
        <v>0</v>
      </c>
    </row>
    <row r="49" spans="2:16">
      <c r="B49" s="104"/>
      <c r="C49" s="192"/>
      <c r="D49" s="108"/>
      <c r="E49" s="337"/>
      <c r="F49" s="108"/>
      <c r="G49" s="255"/>
      <c r="H49" s="139"/>
      <c r="I49" s="139"/>
      <c r="J49" s="333"/>
      <c r="K49" s="139"/>
      <c r="L49" s="192"/>
      <c r="M49" s="108"/>
      <c r="N49" s="242"/>
      <c r="O49" s="151"/>
      <c r="P49" s="242" t="str">
        <f t="shared" si="0"/>
        <v/>
      </c>
    </row>
    <row r="50" spans="2:16" ht="15.75">
      <c r="B50" s="332"/>
      <c r="C50" s="133"/>
      <c r="D50" s="108"/>
      <c r="E50" s="330" t="s">
        <v>524</v>
      </c>
      <c r="F50" s="331"/>
      <c r="G50" s="139"/>
      <c r="H50" s="139"/>
      <c r="I50" s="139"/>
      <c r="J50" s="133"/>
      <c r="K50" s="139"/>
      <c r="L50" s="361" t="s">
        <v>372</v>
      </c>
      <c r="M50" s="108"/>
      <c r="N50" s="360" t="s">
        <v>372</v>
      </c>
      <c r="O50" s="151"/>
      <c r="P50" s="360" t="s">
        <v>372</v>
      </c>
    </row>
    <row r="51" spans="2:16" ht="15.75">
      <c r="B51" s="104"/>
      <c r="C51" s="132"/>
      <c r="D51" s="322" t="s">
        <v>523</v>
      </c>
      <c r="E51" s="359" t="s">
        <v>522</v>
      </c>
      <c r="F51" s="139"/>
      <c r="G51" s="322" t="s">
        <v>521</v>
      </c>
      <c r="H51" s="191"/>
      <c r="I51" s="471" t="s">
        <v>520</v>
      </c>
      <c r="J51" s="472"/>
      <c r="K51" s="191"/>
      <c r="L51" s="322" t="s">
        <v>455</v>
      </c>
      <c r="M51" s="108"/>
      <c r="N51" s="321" t="s">
        <v>455</v>
      </c>
      <c r="O51" s="151"/>
      <c r="P51" s="321" t="s">
        <v>455</v>
      </c>
    </row>
    <row r="52" spans="2:16">
      <c r="B52" s="319" t="str">
        <f>B9</f>
        <v>Line</v>
      </c>
      <c r="C52" s="133"/>
      <c r="D52" s="135"/>
      <c r="E52" s="139"/>
      <c r="F52" s="139"/>
      <c r="G52" s="358" t="s">
        <v>519</v>
      </c>
      <c r="H52" s="139"/>
      <c r="I52" s="139"/>
      <c r="J52" s="139"/>
      <c r="K52" s="139"/>
      <c r="L52" s="139"/>
      <c r="M52" s="108"/>
      <c r="N52" s="174"/>
      <c r="O52" s="151"/>
      <c r="P52" s="174" t="str">
        <f t="shared" ref="P52:P83" si="1">IF(N52="","",N52-L52)</f>
        <v/>
      </c>
    </row>
    <row r="53" spans="2:16" ht="15.75" thickBot="1">
      <c r="B53" s="243" t="str">
        <f>B10</f>
        <v>No.</v>
      </c>
      <c r="C53" s="133"/>
      <c r="D53" s="135" t="s">
        <v>518</v>
      </c>
      <c r="E53" s="234"/>
      <c r="F53" s="234"/>
      <c r="G53" s="131"/>
      <c r="H53" s="131"/>
      <c r="I53" s="175"/>
      <c r="J53" s="131"/>
      <c r="K53" s="131"/>
      <c r="L53" s="131"/>
      <c r="M53" s="108"/>
      <c r="N53" s="174"/>
      <c r="O53" s="151"/>
      <c r="P53" s="174" t="str">
        <f t="shared" si="1"/>
        <v/>
      </c>
    </row>
    <row r="54" spans="2:16">
      <c r="B54" s="134">
        <f>+B35+1</f>
        <v>16</v>
      </c>
      <c r="C54" s="133"/>
      <c r="D54" s="217" t="s">
        <v>374</v>
      </c>
      <c r="E54" s="131"/>
      <c r="F54" s="131"/>
      <c r="G54" s="154"/>
      <c r="H54" s="154"/>
      <c r="I54" s="175"/>
      <c r="J54" s="214"/>
      <c r="K54" s="131"/>
      <c r="L54" s="154"/>
      <c r="M54" s="108"/>
      <c r="N54" s="209"/>
      <c r="O54" s="151"/>
      <c r="P54" s="209" t="str">
        <f t="shared" si="1"/>
        <v/>
      </c>
    </row>
    <row r="55" spans="2:16">
      <c r="B55" s="134">
        <f t="shared" ref="B55:B63" si="2">+B54+1</f>
        <v>17</v>
      </c>
      <c r="C55" s="133"/>
      <c r="D55" s="217" t="s">
        <v>374</v>
      </c>
      <c r="E55" s="131"/>
      <c r="F55" s="131"/>
      <c r="G55" s="154"/>
      <c r="H55" s="154"/>
      <c r="I55" s="175"/>
      <c r="J55" s="214"/>
      <c r="K55" s="131"/>
      <c r="L55" s="154"/>
      <c r="M55" s="108"/>
      <c r="N55" s="209"/>
      <c r="O55" s="151"/>
      <c r="P55" s="209" t="str">
        <f t="shared" si="1"/>
        <v/>
      </c>
    </row>
    <row r="56" spans="2:16">
      <c r="B56" s="134">
        <f t="shared" si="2"/>
        <v>18</v>
      </c>
      <c r="C56" s="338"/>
      <c r="D56" s="353" t="s">
        <v>378</v>
      </c>
      <c r="E56" s="352" t="str">
        <f>"(Worksheet A ln "&amp;'[3]OKT WS A RB Support '!A18&amp;".E &amp; Ln "&amp;B199&amp;")"</f>
        <v>(Worksheet A ln 3.E &amp; Ln 113)</v>
      </c>
      <c r="F56" s="351"/>
      <c r="G56" s="154">
        <f>+'[3]OKT WS A RB Support '!G18</f>
        <v>289295210</v>
      </c>
      <c r="H56" s="154"/>
      <c r="I56" s="311" t="s">
        <v>269</v>
      </c>
      <c r="J56" s="131"/>
      <c r="K56" s="310"/>
      <c r="L56" s="309">
        <f>+L199</f>
        <v>277287601.98000002</v>
      </c>
      <c r="M56" s="108"/>
      <c r="N56" s="308">
        <v>289295210</v>
      </c>
      <c r="O56" s="151"/>
      <c r="P56" s="308">
        <f t="shared" si="1"/>
        <v>12007608.019999981</v>
      </c>
    </row>
    <row r="57" spans="2:16">
      <c r="B57" s="134">
        <f t="shared" si="2"/>
        <v>19</v>
      </c>
      <c r="C57" s="338"/>
      <c r="D57" s="155" t="s">
        <v>506</v>
      </c>
      <c r="E57" s="131" t="s">
        <v>517</v>
      </c>
      <c r="F57" s="351"/>
      <c r="G57" s="154">
        <f>-+'[3]OKT WS A RB Support '!G20</f>
        <v>0</v>
      </c>
      <c r="H57" s="154"/>
      <c r="I57" s="311" t="s">
        <v>264</v>
      </c>
      <c r="J57" s="214">
        <f>VLOOKUP(I57,PSO_TU_Allocators,2,FALSE)</f>
        <v>0.95849358162549603</v>
      </c>
      <c r="K57" s="310"/>
      <c r="L57" s="309">
        <f>+G57*J57</f>
        <v>0</v>
      </c>
      <c r="M57" s="108"/>
      <c r="N57" s="308">
        <v>0</v>
      </c>
      <c r="O57" s="151"/>
      <c r="P57" s="308">
        <f t="shared" si="1"/>
        <v>0</v>
      </c>
    </row>
    <row r="58" spans="2:16">
      <c r="B58" s="134">
        <f t="shared" si="2"/>
        <v>20</v>
      </c>
      <c r="C58" s="338"/>
      <c r="D58" s="217" t="s">
        <v>374</v>
      </c>
      <c r="E58" s="131"/>
      <c r="F58" s="131"/>
      <c r="G58" s="154"/>
      <c r="H58" s="154"/>
      <c r="I58" s="175"/>
      <c r="J58" s="214"/>
      <c r="K58" s="131"/>
      <c r="L58" s="154"/>
      <c r="M58" s="108"/>
      <c r="N58" s="209"/>
      <c r="O58" s="151"/>
      <c r="P58" s="209" t="str">
        <f t="shared" si="1"/>
        <v/>
      </c>
    </row>
    <row r="59" spans="2:16">
      <c r="B59" s="134">
        <f t="shared" si="2"/>
        <v>21</v>
      </c>
      <c r="C59" s="338"/>
      <c r="D59" s="217" t="s">
        <v>374</v>
      </c>
      <c r="E59" s="131"/>
      <c r="F59" s="131"/>
      <c r="G59" s="154"/>
      <c r="H59" s="154"/>
      <c r="I59" s="175"/>
      <c r="J59" s="214"/>
      <c r="K59" s="131"/>
      <c r="L59" s="154"/>
      <c r="M59" s="108"/>
      <c r="N59" s="209"/>
      <c r="O59" s="151"/>
      <c r="P59" s="209" t="str">
        <f t="shared" si="1"/>
        <v/>
      </c>
    </row>
    <row r="60" spans="2:16">
      <c r="B60" s="134">
        <f t="shared" si="2"/>
        <v>22</v>
      </c>
      <c r="C60" s="338"/>
      <c r="D60" s="135" t="s">
        <v>516</v>
      </c>
      <c r="E60" s="131" t="s">
        <v>515</v>
      </c>
      <c r="F60" s="343"/>
      <c r="G60" s="154">
        <f>+'[3]OKT WS A RB Support '!G26</f>
        <v>0</v>
      </c>
      <c r="H60" s="154"/>
      <c r="I60" s="175" t="s">
        <v>262</v>
      </c>
      <c r="J60" s="214">
        <f>VLOOKUP(I60,PSO_TU_Allocators,2,FALSE)</f>
        <v>0.95849358162549603</v>
      </c>
      <c r="K60" s="131"/>
      <c r="L60" s="154">
        <f>+J60*G60</f>
        <v>0</v>
      </c>
      <c r="M60" s="108"/>
      <c r="N60" s="209">
        <v>0</v>
      </c>
      <c r="O60" s="151"/>
      <c r="P60" s="209">
        <f t="shared" si="1"/>
        <v>0</v>
      </c>
    </row>
    <row r="61" spans="2:16">
      <c r="B61" s="134">
        <f t="shared" si="2"/>
        <v>23</v>
      </c>
      <c r="C61" s="338"/>
      <c r="D61" s="205" t="s">
        <v>502</v>
      </c>
      <c r="E61" s="131" t="s">
        <v>514</v>
      </c>
      <c r="F61" s="343"/>
      <c r="G61" s="177">
        <f>-'[3]OKT WS A RB Support '!G28</f>
        <v>0</v>
      </c>
      <c r="H61" s="154"/>
      <c r="I61" s="175" t="s">
        <v>262</v>
      </c>
      <c r="J61" s="214">
        <f>VLOOKUP(I61,PSO_TU_Allocators,2,FALSE)</f>
        <v>0.95849358162549603</v>
      </c>
      <c r="K61" s="131"/>
      <c r="L61" s="154">
        <f>+G61*J61</f>
        <v>0</v>
      </c>
      <c r="M61" s="108"/>
      <c r="N61" s="209">
        <v>0</v>
      </c>
      <c r="O61" s="151"/>
      <c r="P61" s="209">
        <f t="shared" si="1"/>
        <v>0</v>
      </c>
    </row>
    <row r="62" spans="2:16" ht="15.75" thickBot="1">
      <c r="B62" s="134">
        <f t="shared" si="2"/>
        <v>24</v>
      </c>
      <c r="C62" s="338"/>
      <c r="D62" s="135" t="s">
        <v>513</v>
      </c>
      <c r="E62" s="131" t="s">
        <v>512</v>
      </c>
      <c r="F62" s="343"/>
      <c r="G62" s="163">
        <f>+'[3]OKT WS A RB Support '!G30</f>
        <v>1184394.5</v>
      </c>
      <c r="H62" s="154"/>
      <c r="I62" s="175" t="s">
        <v>262</v>
      </c>
      <c r="J62" s="214">
        <f>VLOOKUP(I62,PSO_TU_Allocators,2,FALSE)</f>
        <v>0.95849358162549603</v>
      </c>
      <c r="K62" s="131"/>
      <c r="L62" s="163">
        <f>+J62*G62</f>
        <v>1135234.5263625386</v>
      </c>
      <c r="M62" s="108"/>
      <c r="N62" s="211">
        <v>1184394.5</v>
      </c>
      <c r="O62" s="157"/>
      <c r="P62" s="211">
        <f t="shared" si="1"/>
        <v>49159.973637461429</v>
      </c>
    </row>
    <row r="63" spans="2:16" ht="15.75">
      <c r="B63" s="332">
        <f t="shared" si="2"/>
        <v>25</v>
      </c>
      <c r="C63" s="338"/>
      <c r="D63" s="135" t="s">
        <v>511</v>
      </c>
      <c r="E63" s="133" t="str">
        <f>"(sum lns "&amp;B54&amp;" to "&amp;B62&amp;")"</f>
        <v>(sum lns 16 to 24)</v>
      </c>
      <c r="F63" s="116"/>
      <c r="G63" s="154">
        <f>SUM(G54:G62)</f>
        <v>290479604.5</v>
      </c>
      <c r="H63" s="154"/>
      <c r="I63" s="356" t="s">
        <v>510</v>
      </c>
      <c r="J63" s="346">
        <f>IF(G63=0,0,L63/G63)</f>
        <v>0.95849358162549603</v>
      </c>
      <c r="K63" s="131"/>
      <c r="L63" s="154">
        <f>SUM(L54:L62)</f>
        <v>278422836.50636256</v>
      </c>
      <c r="M63" s="108"/>
      <c r="N63" s="209">
        <v>290479604.5</v>
      </c>
      <c r="O63" s="157"/>
      <c r="P63" s="209">
        <f t="shared" si="1"/>
        <v>12056767.993637443</v>
      </c>
    </row>
    <row r="64" spans="2:16" ht="15.75">
      <c r="B64" s="332"/>
      <c r="C64" s="133"/>
      <c r="D64" s="135"/>
      <c r="E64" s="357"/>
      <c r="F64" s="116"/>
      <c r="G64" s="154"/>
      <c r="H64" s="154"/>
      <c r="I64" s="356" t="s">
        <v>509</v>
      </c>
      <c r="J64" s="250">
        <f>+G56/(++G56+G58)</f>
        <v>1</v>
      </c>
      <c r="K64" s="131"/>
      <c r="L64" s="154"/>
      <c r="M64" s="108"/>
      <c r="N64" s="209"/>
      <c r="O64" s="157"/>
      <c r="P64" s="209" t="str">
        <f t="shared" si="1"/>
        <v/>
      </c>
    </row>
    <row r="65" spans="2:16">
      <c r="B65" s="134">
        <f>+B63+1</f>
        <v>26</v>
      </c>
      <c r="C65" s="133"/>
      <c r="D65" s="135" t="s">
        <v>508</v>
      </c>
      <c r="E65" s="234"/>
      <c r="F65" s="234"/>
      <c r="G65" s="154"/>
      <c r="H65" s="355"/>
      <c r="I65" s="175"/>
      <c r="J65" s="354"/>
      <c r="K65" s="131"/>
      <c r="L65" s="154"/>
      <c r="M65" s="108"/>
      <c r="N65" s="209"/>
      <c r="O65" s="269"/>
      <c r="P65" s="209" t="str">
        <f t="shared" si="1"/>
        <v/>
      </c>
    </row>
    <row r="66" spans="2:16">
      <c r="B66" s="134">
        <f t="shared" ref="B66:B75" si="3">+B65+1</f>
        <v>27</v>
      </c>
      <c r="C66" s="133"/>
      <c r="D66" s="217" t="s">
        <v>374</v>
      </c>
      <c r="E66" s="131"/>
      <c r="F66" s="131"/>
      <c r="G66" s="154"/>
      <c r="H66" s="154"/>
      <c r="I66" s="175"/>
      <c r="J66" s="214"/>
      <c r="K66" s="131"/>
      <c r="L66" s="154"/>
      <c r="M66" s="108"/>
      <c r="N66" s="209"/>
      <c r="O66" s="269"/>
      <c r="P66" s="209" t="str">
        <f t="shared" si="1"/>
        <v/>
      </c>
    </row>
    <row r="67" spans="2:16">
      <c r="B67" s="134">
        <f t="shared" si="3"/>
        <v>28</v>
      </c>
      <c r="C67" s="133"/>
      <c r="D67" s="217" t="s">
        <v>374</v>
      </c>
      <c r="E67" s="131"/>
      <c r="F67" s="131"/>
      <c r="G67" s="154"/>
      <c r="H67" s="154"/>
      <c r="I67" s="175"/>
      <c r="J67" s="214"/>
      <c r="K67" s="131"/>
      <c r="L67" s="154"/>
      <c r="M67" s="108"/>
      <c r="N67" s="209"/>
      <c r="O67" s="269"/>
      <c r="P67" s="209" t="str">
        <f t="shared" si="1"/>
        <v/>
      </c>
    </row>
    <row r="68" spans="2:16" ht="15.75">
      <c r="B68" s="134">
        <f t="shared" si="3"/>
        <v>29</v>
      </c>
      <c r="C68" s="338"/>
      <c r="D68" s="353" t="str">
        <f>D56</f>
        <v xml:space="preserve">  Transmission</v>
      </c>
      <c r="E68" s="352" t="s">
        <v>507</v>
      </c>
      <c r="F68" s="351"/>
      <c r="G68" s="309">
        <f>+'[3]OKT WS A RB Support '!G42</f>
        <v>6408287.6349999998</v>
      </c>
      <c r="H68" s="154"/>
      <c r="I68" s="350" t="s">
        <v>504</v>
      </c>
      <c r="J68" s="313">
        <f>IF(G68=0,0,L68/G68)</f>
        <v>1</v>
      </c>
      <c r="K68" s="310"/>
      <c r="L68" s="154">
        <f>+'[3]OKT WS A RB Support '!G74</f>
        <v>6408287.6349999998</v>
      </c>
      <c r="M68" s="108"/>
      <c r="N68" s="209">
        <v>6599803.1550000003</v>
      </c>
      <c r="O68" s="269"/>
      <c r="P68" s="209">
        <f t="shared" si="1"/>
        <v>191515.52000000048</v>
      </c>
    </row>
    <row r="69" spans="2:16" ht="15.75">
      <c r="B69" s="134">
        <f t="shared" si="3"/>
        <v>30</v>
      </c>
      <c r="C69" s="338"/>
      <c r="D69" s="205" t="s">
        <v>506</v>
      </c>
      <c r="E69" s="131" t="s">
        <v>505</v>
      </c>
      <c r="F69" s="351"/>
      <c r="G69" s="177">
        <f>-'[3]OKT WS A RB Support '!G44</f>
        <v>0</v>
      </c>
      <c r="H69" s="154"/>
      <c r="I69" s="350" t="s">
        <v>504</v>
      </c>
      <c r="J69" s="214">
        <f>+J68</f>
        <v>1</v>
      </c>
      <c r="K69" s="310"/>
      <c r="L69" s="154">
        <f>+J69*G69</f>
        <v>0</v>
      </c>
      <c r="M69" s="108"/>
      <c r="N69" s="209">
        <v>0</v>
      </c>
      <c r="O69" s="269"/>
      <c r="P69" s="209">
        <f t="shared" si="1"/>
        <v>0</v>
      </c>
    </row>
    <row r="70" spans="2:16">
      <c r="B70" s="134">
        <f t="shared" si="3"/>
        <v>31</v>
      </c>
      <c r="C70" s="338"/>
      <c r="D70" s="217" t="s">
        <v>374</v>
      </c>
      <c r="E70" s="131"/>
      <c r="F70" s="131"/>
      <c r="G70" s="154"/>
      <c r="H70" s="154"/>
      <c r="I70" s="175"/>
      <c r="J70" s="214"/>
      <c r="K70" s="131"/>
      <c r="L70" s="154"/>
      <c r="M70" s="108"/>
      <c r="N70" s="209"/>
      <c r="O70" s="269"/>
      <c r="P70" s="209" t="str">
        <f t="shared" si="1"/>
        <v/>
      </c>
    </row>
    <row r="71" spans="2:16">
      <c r="B71" s="134">
        <f t="shared" si="3"/>
        <v>32</v>
      </c>
      <c r="C71" s="338"/>
      <c r="D71" s="217" t="s">
        <v>374</v>
      </c>
      <c r="E71" s="131"/>
      <c r="F71" s="131"/>
      <c r="G71" s="154"/>
      <c r="H71" s="154"/>
      <c r="I71" s="175"/>
      <c r="J71" s="214"/>
      <c r="K71" s="131"/>
      <c r="L71" s="154"/>
      <c r="M71" s="108"/>
      <c r="N71" s="209"/>
      <c r="O71" s="269"/>
      <c r="P71" s="209" t="str">
        <f t="shared" si="1"/>
        <v/>
      </c>
    </row>
    <row r="72" spans="2:16">
      <c r="B72" s="134">
        <f t="shared" si="3"/>
        <v>33</v>
      </c>
      <c r="C72" s="341"/>
      <c r="D72" s="119" t="str">
        <f>+D60</f>
        <v xml:space="preserve">  General Plant   </v>
      </c>
      <c r="E72" s="131" t="s">
        <v>503</v>
      </c>
      <c r="F72" s="343"/>
      <c r="G72" s="237">
        <f>+'[3]OKT WS A RB Support '!G50</f>
        <v>0</v>
      </c>
      <c r="H72" s="154"/>
      <c r="I72" s="175" t="s">
        <v>262</v>
      </c>
      <c r="J72" s="214">
        <f>VLOOKUP(I72,PSO_TU_Allocators,2,FALSE)</f>
        <v>0.95849358162549603</v>
      </c>
      <c r="K72" s="131"/>
      <c r="L72" s="154">
        <f>+J72*G72</f>
        <v>0</v>
      </c>
      <c r="M72" s="108"/>
      <c r="N72" s="209">
        <v>0</v>
      </c>
      <c r="O72" s="269"/>
      <c r="P72" s="209">
        <f t="shared" si="1"/>
        <v>0</v>
      </c>
    </row>
    <row r="73" spans="2:16">
      <c r="B73" s="134">
        <f t="shared" si="3"/>
        <v>34</v>
      </c>
      <c r="C73" s="341"/>
      <c r="D73" s="205" t="s">
        <v>502</v>
      </c>
      <c r="E73" s="131" t="s">
        <v>501</v>
      </c>
      <c r="F73" s="343"/>
      <c r="G73" s="177">
        <f>-'[3]OKT WS A RB Support '!G52</f>
        <v>0</v>
      </c>
      <c r="H73" s="154"/>
      <c r="I73" s="175" t="s">
        <v>262</v>
      </c>
      <c r="J73" s="214">
        <f>VLOOKUP(I73,PSO_TU_Allocators,2,FALSE)</f>
        <v>0.95849358162549603</v>
      </c>
      <c r="K73" s="131"/>
      <c r="L73" s="154">
        <f>+J73*G73</f>
        <v>0</v>
      </c>
      <c r="M73" s="108"/>
      <c r="N73" s="209">
        <v>0</v>
      </c>
      <c r="O73" s="269"/>
      <c r="P73" s="209">
        <f t="shared" si="1"/>
        <v>0</v>
      </c>
    </row>
    <row r="74" spans="2:16" ht="15.75" thickBot="1">
      <c r="B74" s="134">
        <f t="shared" si="3"/>
        <v>35</v>
      </c>
      <c r="C74" s="341"/>
      <c r="D74" s="119" t="str">
        <f>+D62</f>
        <v xml:space="preserve">  Intangible Plant</v>
      </c>
      <c r="E74" s="131" t="s">
        <v>500</v>
      </c>
      <c r="F74" s="343"/>
      <c r="G74" s="163">
        <f>+'[3]OKT WS A RB Support '!G54</f>
        <v>262295.5</v>
      </c>
      <c r="H74" s="154"/>
      <c r="I74" s="175" t="s">
        <v>262</v>
      </c>
      <c r="J74" s="214">
        <f>VLOOKUP(I74,PSO_TU_Allocators,2,FALSE)</f>
        <v>0.95849358162549603</v>
      </c>
      <c r="K74" s="131"/>
      <c r="L74" s="163">
        <f>+J74*G74</f>
        <v>251408.55323925029</v>
      </c>
      <c r="M74" s="108"/>
      <c r="N74" s="211">
        <v>262295.5</v>
      </c>
      <c r="O74" s="269"/>
      <c r="P74" s="211">
        <f t="shared" si="1"/>
        <v>10886.946760749706</v>
      </c>
    </row>
    <row r="75" spans="2:16">
      <c r="B75" s="134">
        <f t="shared" si="3"/>
        <v>36</v>
      </c>
      <c r="C75" s="341"/>
      <c r="D75" s="119" t="s">
        <v>499</v>
      </c>
      <c r="E75" s="349" t="str">
        <f>"(sum lns "&amp;B66&amp;" to "&amp;B74&amp;")"</f>
        <v>(sum lns 27 to 35)</v>
      </c>
      <c r="F75" s="347"/>
      <c r="G75" s="154">
        <f>SUM(G66:G74)</f>
        <v>6670583.1349999998</v>
      </c>
      <c r="H75" s="154"/>
      <c r="I75" s="175"/>
      <c r="J75" s="131"/>
      <c r="K75" s="154"/>
      <c r="L75" s="154">
        <f>SUM(L66:L74)</f>
        <v>6659696.1882392503</v>
      </c>
      <c r="M75" s="108"/>
      <c r="N75" s="209">
        <v>6862098.6550000003</v>
      </c>
      <c r="O75" s="269"/>
      <c r="P75" s="209">
        <f t="shared" si="1"/>
        <v>202402.46676074993</v>
      </c>
    </row>
    <row r="76" spans="2:16">
      <c r="B76" s="134"/>
      <c r="C76" s="133"/>
      <c r="D76" s="192"/>
      <c r="E76" s="348"/>
      <c r="F76" s="347"/>
      <c r="G76" s="154"/>
      <c r="H76" s="154"/>
      <c r="I76" s="175"/>
      <c r="J76" s="344"/>
      <c r="K76" s="131"/>
      <c r="L76" s="154"/>
      <c r="M76" s="108"/>
      <c r="N76" s="209"/>
      <c r="O76" s="269"/>
      <c r="P76" s="209" t="str">
        <f t="shared" si="1"/>
        <v/>
      </c>
    </row>
    <row r="77" spans="2:16">
      <c r="B77" s="134">
        <f>+B75+1</f>
        <v>37</v>
      </c>
      <c r="C77" s="133"/>
      <c r="D77" s="135" t="s">
        <v>498</v>
      </c>
      <c r="E77" s="234"/>
      <c r="F77" s="234"/>
      <c r="G77" s="154"/>
      <c r="H77" s="154"/>
      <c r="I77" s="175"/>
      <c r="J77" s="131"/>
      <c r="K77" s="131"/>
      <c r="L77" s="154"/>
      <c r="M77" s="108"/>
      <c r="N77" s="209"/>
      <c r="O77" s="269"/>
      <c r="P77" s="209" t="str">
        <f t="shared" si="1"/>
        <v/>
      </c>
    </row>
    <row r="78" spans="2:16">
      <c r="B78" s="332">
        <f t="shared" ref="B78:B83" si="4">+B77+1</f>
        <v>38</v>
      </c>
      <c r="C78" s="338"/>
      <c r="D78" s="217" t="s">
        <v>374</v>
      </c>
      <c r="E78" s="131"/>
      <c r="F78" s="131"/>
      <c r="G78" s="154"/>
      <c r="H78" s="154"/>
      <c r="I78" s="175"/>
      <c r="J78" s="214"/>
      <c r="K78" s="131"/>
      <c r="L78" s="154"/>
      <c r="M78" s="108"/>
      <c r="N78" s="209"/>
      <c r="O78" s="269"/>
      <c r="P78" s="209" t="str">
        <f t="shared" si="1"/>
        <v/>
      </c>
    </row>
    <row r="79" spans="2:16">
      <c r="B79" s="332">
        <f t="shared" si="4"/>
        <v>39</v>
      </c>
      <c r="C79" s="338"/>
      <c r="D79" s="205" t="str">
        <f>+D68</f>
        <v xml:space="preserve">  Transmission</v>
      </c>
      <c r="E79" s="131" t="str">
        <f>" (ln "&amp;B56&amp;" + ln "&amp;B57&amp;" - ln "&amp;B68&amp;" - ln "&amp;B69&amp;")"</f>
        <v xml:space="preserve"> (ln 18 + ln 19 - ln 29 - ln 30)</v>
      </c>
      <c r="F79" s="343"/>
      <c r="G79" s="154">
        <f>+G56+G57-G68-G69</f>
        <v>282886922.36500001</v>
      </c>
      <c r="H79" s="154"/>
      <c r="I79" s="175"/>
      <c r="J79" s="313"/>
      <c r="K79" s="131"/>
      <c r="L79" s="154">
        <f>+L56+L57-L68-L69</f>
        <v>270879314.34500003</v>
      </c>
      <c r="M79" s="108"/>
      <c r="N79" s="209">
        <v>282695406.84500003</v>
      </c>
      <c r="O79" s="269"/>
      <c r="P79" s="209">
        <f t="shared" si="1"/>
        <v>11816092.5</v>
      </c>
    </row>
    <row r="80" spans="2:16">
      <c r="B80" s="332">
        <f t="shared" si="4"/>
        <v>40</v>
      </c>
      <c r="C80" s="338"/>
      <c r="D80" s="217" t="s">
        <v>374</v>
      </c>
      <c r="E80" s="131"/>
      <c r="F80" s="131"/>
      <c r="G80" s="154"/>
      <c r="H80" s="154"/>
      <c r="I80" s="175"/>
      <c r="J80" s="214"/>
      <c r="K80" s="131"/>
      <c r="L80" s="154"/>
      <c r="M80" s="108"/>
      <c r="N80" s="209"/>
      <c r="O80" s="269"/>
      <c r="P80" s="209" t="str">
        <f t="shared" si="1"/>
        <v/>
      </c>
    </row>
    <row r="81" spans="2:16">
      <c r="B81" s="332">
        <f t="shared" si="4"/>
        <v>41</v>
      </c>
      <c r="C81" s="338"/>
      <c r="D81" s="205" t="str">
        <f>+D72</f>
        <v xml:space="preserve">  General Plant   </v>
      </c>
      <c r="E81" s="131" t="str">
        <f>" (ln "&amp;B60&amp;" + ln "&amp;B61&amp;" - ln "&amp;B72&amp;" - ln "&amp;B73&amp;")"</f>
        <v xml:space="preserve"> (ln 22 + ln 23 - ln 33 - ln 34)</v>
      </c>
      <c r="F81" s="131"/>
      <c r="G81" s="154">
        <f>+G60+G61-G72-G73</f>
        <v>0</v>
      </c>
      <c r="H81" s="154"/>
      <c r="I81" s="175"/>
      <c r="J81" s="344"/>
      <c r="K81" s="131"/>
      <c r="L81" s="154">
        <f>+L60+L61-L72-L73</f>
        <v>0</v>
      </c>
      <c r="M81" s="108"/>
      <c r="N81" s="209">
        <v>0</v>
      </c>
      <c r="O81" s="269"/>
      <c r="P81" s="209">
        <f t="shared" si="1"/>
        <v>0</v>
      </c>
    </row>
    <row r="82" spans="2:16" ht="15.75" thickBot="1">
      <c r="B82" s="332">
        <f t="shared" si="4"/>
        <v>42</v>
      </c>
      <c r="C82" s="338"/>
      <c r="D82" s="205" t="str">
        <f>+D74</f>
        <v xml:space="preserve">  Intangible Plant</v>
      </c>
      <c r="E82" s="131" t="str">
        <f>" (ln "&amp;B62&amp;" - ln "&amp;B74&amp;")"</f>
        <v xml:space="preserve"> (ln 24 - ln 35)</v>
      </c>
      <c r="F82" s="131"/>
      <c r="G82" s="163">
        <f>+G62-G74</f>
        <v>922099</v>
      </c>
      <c r="H82" s="154"/>
      <c r="I82" s="175"/>
      <c r="J82" s="344"/>
      <c r="K82" s="131"/>
      <c r="L82" s="163">
        <f>+L62-L74</f>
        <v>883825.97312328825</v>
      </c>
      <c r="M82" s="108"/>
      <c r="N82" s="211">
        <v>922099</v>
      </c>
      <c r="O82" s="269"/>
      <c r="P82" s="211">
        <f t="shared" si="1"/>
        <v>38273.026876711752</v>
      </c>
    </row>
    <row r="83" spans="2:16" ht="15.75">
      <c r="B83" s="332">
        <f t="shared" si="4"/>
        <v>43</v>
      </c>
      <c r="C83" s="338"/>
      <c r="D83" s="205" t="s">
        <v>497</v>
      </c>
      <c r="E83" s="205" t="str">
        <f>"(sum lns "&amp;B78&amp;" to "&amp;B82&amp;")"</f>
        <v>(sum lns 38 to 42)</v>
      </c>
      <c r="F83" s="131"/>
      <c r="G83" s="154">
        <f>SUM(G78:G82)</f>
        <v>283809021.36500001</v>
      </c>
      <c r="H83" s="154"/>
      <c r="I83" s="153" t="s">
        <v>496</v>
      </c>
      <c r="J83" s="346">
        <f>IF(G83=0,0,L83/G83)</f>
        <v>0.95755638425818479</v>
      </c>
      <c r="K83" s="131"/>
      <c r="L83" s="154">
        <f>SUM(L79:L82)</f>
        <v>271763140.31812334</v>
      </c>
      <c r="M83" s="108"/>
      <c r="N83" s="209">
        <v>283617505.84500003</v>
      </c>
      <c r="O83" s="269"/>
      <c r="P83" s="209">
        <f t="shared" si="1"/>
        <v>11854365.526876688</v>
      </c>
    </row>
    <row r="84" spans="2:16">
      <c r="B84" s="134"/>
      <c r="C84" s="133"/>
      <c r="D84" s="135"/>
      <c r="E84" s="131"/>
      <c r="F84" s="131"/>
      <c r="G84" s="154"/>
      <c r="H84" s="154"/>
      <c r="I84" s="120"/>
      <c r="J84" s="126"/>
      <c r="K84" s="131"/>
      <c r="L84" s="154"/>
      <c r="M84" s="108"/>
      <c r="N84" s="209"/>
      <c r="O84" s="269"/>
      <c r="P84" s="209" t="str">
        <f t="shared" ref="P84:P115" si="5">IF(N84="","",N84-L84)</f>
        <v/>
      </c>
    </row>
    <row r="85" spans="2:16">
      <c r="B85" s="134"/>
      <c r="C85" s="133"/>
      <c r="D85" s="192"/>
      <c r="G85" s="108"/>
      <c r="H85" s="108"/>
      <c r="I85" s="108"/>
      <c r="J85" s="108"/>
      <c r="K85" s="108"/>
      <c r="L85" s="108"/>
      <c r="M85" s="108"/>
      <c r="N85" s="317"/>
      <c r="O85" s="269"/>
      <c r="P85" s="317" t="str">
        <f t="shared" si="5"/>
        <v/>
      </c>
    </row>
    <row r="86" spans="2:16">
      <c r="B86" s="134">
        <f>+B83+1</f>
        <v>44</v>
      </c>
      <c r="C86" s="133"/>
      <c r="D86" s="135" t="s">
        <v>495</v>
      </c>
      <c r="E86" s="131" t="s">
        <v>494</v>
      </c>
      <c r="F86" s="175"/>
      <c r="G86" s="108"/>
      <c r="H86" s="108"/>
      <c r="I86" s="108"/>
      <c r="J86" s="108"/>
      <c r="K86" s="108"/>
      <c r="L86" s="108"/>
      <c r="M86" s="108"/>
      <c r="N86" s="317"/>
      <c r="O86" s="269"/>
      <c r="P86" s="317" t="str">
        <f t="shared" si="5"/>
        <v/>
      </c>
    </row>
    <row r="87" spans="2:16">
      <c r="B87" s="332">
        <f t="shared" ref="B87:B92" si="6">+B86+1</f>
        <v>45</v>
      </c>
      <c r="C87" s="338"/>
      <c r="D87" s="155" t="s">
        <v>493</v>
      </c>
      <c r="E87" s="131" t="s">
        <v>492</v>
      </c>
      <c r="F87" s="131"/>
      <c r="G87" s="154">
        <f>+'[3]OKT Historic TCOS'!G97</f>
        <v>0</v>
      </c>
      <c r="H87" s="154"/>
      <c r="I87" s="175" t="s">
        <v>266</v>
      </c>
      <c r="J87" s="214"/>
      <c r="K87" s="131"/>
      <c r="L87" s="154">
        <v>0</v>
      </c>
      <c r="M87" s="108"/>
      <c r="N87" s="209">
        <v>0</v>
      </c>
      <c r="O87" s="269"/>
      <c r="P87" s="209">
        <f t="shared" si="5"/>
        <v>0</v>
      </c>
    </row>
    <row r="88" spans="2:16">
      <c r="B88" s="332">
        <f t="shared" si="6"/>
        <v>46</v>
      </c>
      <c r="C88" s="338"/>
      <c r="D88" s="155" t="s">
        <v>491</v>
      </c>
      <c r="E88" s="131" t="s">
        <v>490</v>
      </c>
      <c r="F88" s="343"/>
      <c r="G88" s="154">
        <f>+'[3]OKT WS C RB Tax'!D27</f>
        <v>-54626961.905000001</v>
      </c>
      <c r="H88" s="154"/>
      <c r="I88" s="175" t="s">
        <v>269</v>
      </c>
      <c r="J88" s="214"/>
      <c r="K88" s="131"/>
      <c r="L88" s="154">
        <f>+'[3]OKT WS C RB Tax'!J29</f>
        <v>-52250801.576757893</v>
      </c>
      <c r="M88" s="108"/>
      <c r="N88" s="209">
        <v>-54625634.880000003</v>
      </c>
      <c r="O88" s="269"/>
      <c r="P88" s="209">
        <f t="shared" si="5"/>
        <v>-2374833.3032421097</v>
      </c>
    </row>
    <row r="89" spans="2:16">
      <c r="B89" s="332">
        <f t="shared" si="6"/>
        <v>47</v>
      </c>
      <c r="C89" s="338"/>
      <c r="D89" s="155" t="s">
        <v>489</v>
      </c>
      <c r="E89" s="131" t="s">
        <v>488</v>
      </c>
      <c r="F89" s="343"/>
      <c r="G89" s="154">
        <f>+'[3]OKT WS C RB Tax'!D44</f>
        <v>-12583958.425000001</v>
      </c>
      <c r="H89" s="154"/>
      <c r="I89" s="175" t="s">
        <v>269</v>
      </c>
      <c r="J89" s="214"/>
      <c r="K89" s="131"/>
      <c r="L89" s="154">
        <f>+'[3]OKT WS C RB Tax'!J46</f>
        <v>-9826414.0700000003</v>
      </c>
      <c r="M89" s="108"/>
      <c r="N89" s="209">
        <v>-9826414.0700000003</v>
      </c>
      <c r="O89" s="269"/>
      <c r="P89" s="209">
        <f t="shared" si="5"/>
        <v>0</v>
      </c>
    </row>
    <row r="90" spans="2:16">
      <c r="B90" s="332">
        <f t="shared" si="6"/>
        <v>48</v>
      </c>
      <c r="C90" s="338"/>
      <c r="D90" s="155" t="s">
        <v>487</v>
      </c>
      <c r="E90" s="131" t="s">
        <v>486</v>
      </c>
      <c r="F90" s="343"/>
      <c r="G90" s="154">
        <f>+'[3]OKT WS C RB Tax'!D62</f>
        <v>14692962.725</v>
      </c>
      <c r="H90" s="154"/>
      <c r="I90" s="175" t="s">
        <v>269</v>
      </c>
      <c r="J90" s="214"/>
      <c r="K90" s="131"/>
      <c r="L90" s="154">
        <f>+'[3]OKT WS C RB Tax'!J64</f>
        <v>6804255.0750000002</v>
      </c>
      <c r="M90" s="108"/>
      <c r="N90" s="209">
        <v>6804255.0750000002</v>
      </c>
      <c r="O90" s="269"/>
      <c r="P90" s="209">
        <f t="shared" si="5"/>
        <v>0</v>
      </c>
    </row>
    <row r="91" spans="2:16" ht="15.75" thickBot="1">
      <c r="B91" s="332">
        <f t="shared" si="6"/>
        <v>49</v>
      </c>
      <c r="C91" s="338"/>
      <c r="D91" s="276" t="s">
        <v>485</v>
      </c>
      <c r="E91" s="131" t="s">
        <v>484</v>
      </c>
      <c r="F91" s="345"/>
      <c r="G91" s="163">
        <f>+'[3]OKT WS C RB Tax'!D79</f>
        <v>0</v>
      </c>
      <c r="H91" s="154"/>
      <c r="I91" s="175" t="s">
        <v>269</v>
      </c>
      <c r="J91" s="214"/>
      <c r="K91" s="131"/>
      <c r="L91" s="163">
        <f>+'[3]OKT WS C RB Tax'!J81</f>
        <v>0</v>
      </c>
      <c r="M91" s="108"/>
      <c r="N91" s="211">
        <v>0</v>
      </c>
      <c r="O91" s="269"/>
      <c r="P91" s="211">
        <f t="shared" si="5"/>
        <v>0</v>
      </c>
    </row>
    <row r="92" spans="2:16">
      <c r="B92" s="332">
        <f t="shared" si="6"/>
        <v>50</v>
      </c>
      <c r="C92" s="338"/>
      <c r="D92" s="205" t="s">
        <v>483</v>
      </c>
      <c r="E92" s="205" t="str">
        <f>"(sum lns "&amp;B87&amp;" to "&amp;B91&amp;")"</f>
        <v>(sum lns 45 to 49)</v>
      </c>
      <c r="F92" s="131"/>
      <c r="G92" s="154">
        <f>SUM(G87:G91)</f>
        <v>-52517957.604999997</v>
      </c>
      <c r="H92" s="143"/>
      <c r="I92" s="175"/>
      <c r="J92" s="166"/>
      <c r="K92" s="131"/>
      <c r="L92" s="154">
        <f>SUM(L87:L91)</f>
        <v>-55272960.57175789</v>
      </c>
      <c r="M92" s="108"/>
      <c r="N92" s="209">
        <v>-57647793.875</v>
      </c>
      <c r="O92" s="151"/>
      <c r="P92" s="209">
        <f t="shared" si="5"/>
        <v>-2374833.3032421097</v>
      </c>
    </row>
    <row r="93" spans="2:16">
      <c r="B93" s="134"/>
      <c r="C93" s="133"/>
      <c r="D93" s="205"/>
      <c r="E93" s="131"/>
      <c r="F93" s="131"/>
      <c r="G93" s="154"/>
      <c r="H93" s="143"/>
      <c r="I93" s="175"/>
      <c r="J93" s="344"/>
      <c r="K93" s="131"/>
      <c r="L93" s="154"/>
      <c r="M93" s="108"/>
      <c r="N93" s="209"/>
      <c r="O93" s="151"/>
      <c r="P93" s="209" t="str">
        <f t="shared" si="5"/>
        <v/>
      </c>
    </row>
    <row r="94" spans="2:16">
      <c r="B94" s="134">
        <f>+B92+1</f>
        <v>51</v>
      </c>
      <c r="C94" s="133"/>
      <c r="D94" s="205" t="s">
        <v>482</v>
      </c>
      <c r="E94" s="131" t="s">
        <v>481</v>
      </c>
      <c r="F94" s="131"/>
      <c r="G94" s="154">
        <f>+'[3]OKT WS A RB Support '!G78</f>
        <v>0</v>
      </c>
      <c r="H94" s="143"/>
      <c r="I94" s="175" t="s">
        <v>269</v>
      </c>
      <c r="J94" s="214"/>
      <c r="K94" s="131"/>
      <c r="L94" s="154">
        <f>+'[3]OKT WS A RB Support '!G80</f>
        <v>0</v>
      </c>
      <c r="M94" s="108"/>
      <c r="N94" s="209">
        <v>0</v>
      </c>
      <c r="O94" s="151"/>
      <c r="P94" s="209">
        <f t="shared" si="5"/>
        <v>0</v>
      </c>
    </row>
    <row r="95" spans="2:16">
      <c r="B95" s="134"/>
      <c r="C95" s="133"/>
      <c r="D95" s="205"/>
      <c r="E95" s="131"/>
      <c r="F95" s="131"/>
      <c r="G95" s="154"/>
      <c r="H95" s="143"/>
      <c r="I95" s="175"/>
      <c r="J95" s="214"/>
      <c r="K95" s="131"/>
      <c r="L95" s="154"/>
      <c r="M95" s="108"/>
      <c r="N95" s="209"/>
      <c r="O95" s="151"/>
      <c r="P95" s="209" t="str">
        <f t="shared" si="5"/>
        <v/>
      </c>
    </row>
    <row r="96" spans="2:16" s="105" customFormat="1">
      <c r="B96" s="115" t="s">
        <v>480</v>
      </c>
      <c r="C96" s="114"/>
      <c r="D96" s="155" t="s">
        <v>479</v>
      </c>
      <c r="E96" s="131" t="str">
        <f>"(Worksheet A ln "&amp;'[3]OKT WS A RB Support '!A96&amp;". "&amp;'[3]OKT WS A RB Support '!G6&amp;")"</f>
        <v>(Worksheet A ln NOTE 1 . (E))</v>
      </c>
      <c r="F96" s="131"/>
      <c r="G96" s="154">
        <f>'[3]OKT WS A RB Support '!G96</f>
        <v>0</v>
      </c>
      <c r="H96" s="304"/>
      <c r="I96" s="175" t="s">
        <v>269</v>
      </c>
      <c r="J96" s="214"/>
      <c r="K96" s="131"/>
      <c r="L96" s="154">
        <f>+G96</f>
        <v>0</v>
      </c>
      <c r="M96" s="304"/>
      <c r="N96" s="209">
        <v>0</v>
      </c>
      <c r="O96" s="151"/>
      <c r="P96" s="209">
        <f t="shared" si="5"/>
        <v>0</v>
      </c>
    </row>
    <row r="97" spans="1:16">
      <c r="B97" s="134"/>
      <c r="C97" s="133"/>
      <c r="D97" s="205"/>
      <c r="E97" s="131"/>
      <c r="F97" s="131"/>
      <c r="G97" s="154"/>
      <c r="H97" s="143"/>
      <c r="I97" s="175"/>
      <c r="J97" s="214"/>
      <c r="K97" s="131"/>
      <c r="L97" s="154"/>
      <c r="M97" s="108"/>
      <c r="N97" s="209"/>
      <c r="O97" s="151"/>
      <c r="P97" s="209" t="str">
        <f t="shared" si="5"/>
        <v/>
      </c>
    </row>
    <row r="98" spans="1:16">
      <c r="B98" s="134">
        <f>+B94+1</f>
        <v>52</v>
      </c>
      <c r="C98" s="133"/>
      <c r="D98" s="205" t="s">
        <v>478</v>
      </c>
      <c r="E98" s="131" t="s">
        <v>477</v>
      </c>
      <c r="F98" s="131"/>
      <c r="G98" s="154"/>
      <c r="H98" s="143"/>
      <c r="I98" s="175"/>
      <c r="J98" s="131"/>
      <c r="K98" s="131"/>
      <c r="L98" s="154"/>
      <c r="M98" s="108"/>
      <c r="N98" s="209"/>
      <c r="O98" s="151"/>
      <c r="P98" s="209" t="str">
        <f t="shared" si="5"/>
        <v/>
      </c>
    </row>
    <row r="99" spans="1:16">
      <c r="B99" s="332">
        <f t="shared" ref="B99:B107" si="7">+B98+1</f>
        <v>53</v>
      </c>
      <c r="C99" s="338"/>
      <c r="D99" s="205" t="s">
        <v>476</v>
      </c>
      <c r="E99" s="120" t="str">
        <f>"(1/8 * ln "&amp;B130&amp;") (Note G)"</f>
        <v>(1/8 * ln 68) (Note G)</v>
      </c>
      <c r="F99" s="120"/>
      <c r="G99" s="154">
        <f>+G130/8</f>
        <v>94197.125</v>
      </c>
      <c r="H99" s="131"/>
      <c r="I99" s="175"/>
      <c r="J99" s="344"/>
      <c r="K99" s="131"/>
      <c r="L99" s="154">
        <f>+L130/8</f>
        <v>90287.339720074553</v>
      </c>
      <c r="M99" s="108"/>
      <c r="N99" s="209">
        <v>94197.125</v>
      </c>
      <c r="O99" s="151"/>
      <c r="P99" s="209">
        <f t="shared" si="5"/>
        <v>3909.785279925447</v>
      </c>
    </row>
    <row r="100" spans="1:16">
      <c r="B100" s="342">
        <f t="shared" si="7"/>
        <v>54</v>
      </c>
      <c r="C100" s="341"/>
      <c r="D100" s="205" t="s">
        <v>475</v>
      </c>
      <c r="E100" s="131" t="str">
        <f>"(Worksheet D, ln "&amp;'[3]OKT WS D Working Capital'!A15&amp;"."&amp;'[3]OKT WS D Working Capital'!I$6&amp;")"</f>
        <v>(Worksheet D, ln 2.(F))</v>
      </c>
      <c r="F100" s="343"/>
      <c r="G100" s="154">
        <f>+'[3]OKT WS D Working Capital'!I15</f>
        <v>0</v>
      </c>
      <c r="H100" s="108"/>
      <c r="I100" s="204" t="s">
        <v>264</v>
      </c>
      <c r="J100" s="214">
        <f t="shared" ref="J100:J106" si="8">VLOOKUP(I100,PSO_TU_Allocators,2,FALSE)</f>
        <v>0.95849358162549603</v>
      </c>
      <c r="K100" s="139"/>
      <c r="L100" s="210">
        <f>+J100*G100</f>
        <v>0</v>
      </c>
      <c r="M100" s="108"/>
      <c r="N100" s="209">
        <v>0</v>
      </c>
      <c r="O100" s="151"/>
      <c r="P100" s="209">
        <f t="shared" si="5"/>
        <v>0</v>
      </c>
    </row>
    <row r="101" spans="1:16">
      <c r="B101" s="342">
        <f t="shared" si="7"/>
        <v>55</v>
      </c>
      <c r="C101" s="341"/>
      <c r="D101" s="205" t="s">
        <v>474</v>
      </c>
      <c r="E101" s="131" t="str">
        <f>"(Worksheet D, ln "&amp;'[3]OKT WS D Working Capital'!A17&amp;"."&amp;'[3]OKT WS D Working Capital'!I$6&amp;")"</f>
        <v>(Worksheet D, ln 3.(F))</v>
      </c>
      <c r="F101" s="343"/>
      <c r="G101" s="154">
        <f>+'[3]OKT WS D Working Capital'!I17</f>
        <v>0</v>
      </c>
      <c r="H101" s="108"/>
      <c r="I101" s="204" t="s">
        <v>262</v>
      </c>
      <c r="J101" s="214">
        <f t="shared" si="8"/>
        <v>0.95849358162549603</v>
      </c>
      <c r="K101" s="139"/>
      <c r="L101" s="210">
        <f>+J101*G101</f>
        <v>0</v>
      </c>
      <c r="M101" s="108"/>
      <c r="N101" s="209">
        <v>0</v>
      </c>
      <c r="O101" s="151"/>
      <c r="P101" s="209">
        <f t="shared" si="5"/>
        <v>0</v>
      </c>
    </row>
    <row r="102" spans="1:16">
      <c r="B102" s="342">
        <f t="shared" si="7"/>
        <v>56</v>
      </c>
      <c r="C102" s="341"/>
      <c r="D102" s="205" t="s">
        <v>473</v>
      </c>
      <c r="E102" s="131" t="str">
        <f>"(Worksheet D, ln "&amp;'[3]OKT WS D Working Capital'!A19&amp;"."&amp;'[3]OKT WS D Working Capital'!I$6&amp;")"</f>
        <v>(Worksheet D, ln 4.(F))</v>
      </c>
      <c r="F102" s="343"/>
      <c r="G102" s="154">
        <f>+'[3]OKT WS D Working Capital'!I19</f>
        <v>0</v>
      </c>
      <c r="H102" s="108"/>
      <c r="I102" s="204" t="s">
        <v>268</v>
      </c>
      <c r="J102" s="214">
        <f t="shared" si="8"/>
        <v>0.95849358162549603</v>
      </c>
      <c r="K102" s="139"/>
      <c r="L102" s="210">
        <f>+J102*G102</f>
        <v>0</v>
      </c>
      <c r="M102" s="108"/>
      <c r="N102" s="209">
        <v>0</v>
      </c>
      <c r="O102" s="151"/>
      <c r="P102" s="209">
        <f t="shared" si="5"/>
        <v>0</v>
      </c>
    </row>
    <row r="103" spans="1:16">
      <c r="A103" s="105"/>
      <c r="B103" s="342">
        <f t="shared" si="7"/>
        <v>57</v>
      </c>
      <c r="C103" s="341"/>
      <c r="D103" s="155" t="s">
        <v>472</v>
      </c>
      <c r="E103" s="131" t="s">
        <v>471</v>
      </c>
      <c r="F103" s="339"/>
      <c r="G103" s="154">
        <f>+'[3]OKT WS D Working Capital'!J29</f>
        <v>0</v>
      </c>
      <c r="H103" s="340"/>
      <c r="I103" s="175" t="s">
        <v>262</v>
      </c>
      <c r="J103" s="214">
        <f t="shared" si="8"/>
        <v>0.95849358162549603</v>
      </c>
      <c r="K103" s="131"/>
      <c r="L103" s="154">
        <f>+J103*G103</f>
        <v>0</v>
      </c>
      <c r="M103" s="108"/>
      <c r="N103" s="209">
        <v>0</v>
      </c>
      <c r="O103" s="151"/>
      <c r="P103" s="209">
        <f t="shared" si="5"/>
        <v>0</v>
      </c>
    </row>
    <row r="104" spans="1:16">
      <c r="B104" s="332">
        <f t="shared" si="7"/>
        <v>58</v>
      </c>
      <c r="C104" s="338"/>
      <c r="D104" s="205" t="s">
        <v>470</v>
      </c>
      <c r="E104" s="131" t="s">
        <v>469</v>
      </c>
      <c r="F104" s="339"/>
      <c r="G104" s="154">
        <f>+'[3]OKT WS D Working Capital'!I29</f>
        <v>50646.595000000001</v>
      </c>
      <c r="H104" s="143"/>
      <c r="I104" s="175" t="s">
        <v>268</v>
      </c>
      <c r="J104" s="214">
        <f t="shared" si="8"/>
        <v>0.95849358162549603</v>
      </c>
      <c r="K104" s="131"/>
      <c r="L104" s="154">
        <f>+G104*J104</f>
        <v>48544.436238685943</v>
      </c>
      <c r="M104" s="108"/>
      <c r="N104" s="209">
        <v>50646.595000000001</v>
      </c>
      <c r="O104" s="151"/>
      <c r="P104" s="209">
        <f t="shared" si="5"/>
        <v>2102.1587613140582</v>
      </c>
    </row>
    <row r="105" spans="1:16">
      <c r="B105" s="332">
        <f t="shared" si="7"/>
        <v>59</v>
      </c>
      <c r="C105" s="338"/>
      <c r="D105" s="205" t="s">
        <v>468</v>
      </c>
      <c r="E105" s="131" t="s">
        <v>467</v>
      </c>
      <c r="F105" s="339"/>
      <c r="G105" s="154">
        <f>+'[3]OKT WS D Working Capital'!G29</f>
        <v>22500</v>
      </c>
      <c r="H105" s="143"/>
      <c r="I105" s="175" t="s">
        <v>269</v>
      </c>
      <c r="J105" s="214">
        <f t="shared" si="8"/>
        <v>1</v>
      </c>
      <c r="K105" s="131"/>
      <c r="L105" s="154">
        <f>+G105</f>
        <v>22500</v>
      </c>
      <c r="M105" s="108"/>
      <c r="N105" s="209">
        <v>22500</v>
      </c>
      <c r="O105" s="151"/>
      <c r="P105" s="209">
        <f t="shared" si="5"/>
        <v>0</v>
      </c>
    </row>
    <row r="106" spans="1:16" ht="15.75" thickBot="1">
      <c r="B106" s="332">
        <f t="shared" si="7"/>
        <v>60</v>
      </c>
      <c r="C106" s="338"/>
      <c r="D106" s="205" t="s">
        <v>466</v>
      </c>
      <c r="E106" s="131" t="s">
        <v>465</v>
      </c>
      <c r="F106" s="339"/>
      <c r="G106" s="163">
        <f>+'[3]OKT WS D Working Capital'!E29</f>
        <v>0</v>
      </c>
      <c r="H106" s="154"/>
      <c r="I106" s="175" t="s">
        <v>266</v>
      </c>
      <c r="J106" s="214">
        <f t="shared" si="8"/>
        <v>0</v>
      </c>
      <c r="K106" s="131"/>
      <c r="L106" s="163">
        <f>+G106*J106</f>
        <v>0</v>
      </c>
      <c r="M106" s="108"/>
      <c r="N106" s="211">
        <v>0</v>
      </c>
      <c r="O106" s="151"/>
      <c r="P106" s="211">
        <f t="shared" si="5"/>
        <v>0</v>
      </c>
    </row>
    <row r="107" spans="1:16">
      <c r="B107" s="332">
        <f t="shared" si="7"/>
        <v>61</v>
      </c>
      <c r="C107" s="338"/>
      <c r="D107" s="205" t="s">
        <v>464</v>
      </c>
      <c r="E107" s="205" t="str">
        <f>"(sum lns "&amp;B99&amp;" to "&amp;B106&amp;")"</f>
        <v>(sum lns 53 to 60)</v>
      </c>
      <c r="F107" s="125"/>
      <c r="G107" s="154">
        <f>SUM(G99:G106)</f>
        <v>167343.72</v>
      </c>
      <c r="H107" s="125"/>
      <c r="I107" s="114"/>
      <c r="J107" s="125"/>
      <c r="K107" s="125"/>
      <c r="L107" s="154">
        <f>SUM(L99:L106)</f>
        <v>161331.7759587605</v>
      </c>
      <c r="M107" s="108"/>
      <c r="N107" s="209">
        <v>167343.72</v>
      </c>
      <c r="O107" s="151"/>
      <c r="P107" s="209">
        <f t="shared" si="5"/>
        <v>6011.9440412395052</v>
      </c>
    </row>
    <row r="108" spans="1:16">
      <c r="B108" s="134"/>
      <c r="C108" s="133"/>
      <c r="D108" s="205"/>
      <c r="E108" s="138"/>
      <c r="F108" s="138"/>
      <c r="G108" s="210"/>
      <c r="H108" s="138"/>
      <c r="I108" s="133"/>
      <c r="J108" s="138"/>
      <c r="K108" s="138"/>
      <c r="L108" s="210"/>
      <c r="M108" s="108"/>
      <c r="N108" s="209"/>
      <c r="O108" s="151"/>
      <c r="P108" s="209" t="str">
        <f t="shared" si="5"/>
        <v/>
      </c>
    </row>
    <row r="109" spans="1:16">
      <c r="B109" s="134">
        <f>+B107+1</f>
        <v>62</v>
      </c>
      <c r="C109" s="133"/>
      <c r="D109" s="155" t="s">
        <v>463</v>
      </c>
      <c r="E109" s="135" t="str">
        <f>"(Note H) (Worksheet E, ln "&amp;'[3]OKT WS E IPP Credits'!A21&amp;".(B))"</f>
        <v>(Note H) (Worksheet E, ln 8.(B))</v>
      </c>
      <c r="F109" s="138"/>
      <c r="G109" s="154">
        <f>IF(G63=0,0,-'[3]OKT WS E IPP Credits'!C21)</f>
        <v>0</v>
      </c>
      <c r="H109" s="138"/>
      <c r="I109" s="258" t="s">
        <v>269</v>
      </c>
      <c r="J109" s="214">
        <f>VLOOKUP(I109,PSO_TU_Allocators,2,FALSE)</f>
        <v>1</v>
      </c>
      <c r="K109" s="139"/>
      <c r="L109" s="210">
        <f>+J109*G109</f>
        <v>0</v>
      </c>
      <c r="M109" s="108"/>
      <c r="N109" s="209">
        <v>0</v>
      </c>
      <c r="O109" s="151"/>
      <c r="P109" s="209">
        <f t="shared" si="5"/>
        <v>0</v>
      </c>
    </row>
    <row r="110" spans="1:16" ht="15.75" thickBot="1">
      <c r="B110" s="336"/>
      <c r="C110" s="192"/>
      <c r="D110" s="276"/>
      <c r="E110" s="139"/>
      <c r="F110" s="139"/>
      <c r="G110" s="212"/>
      <c r="H110" s="139"/>
      <c r="I110" s="204"/>
      <c r="J110" s="139"/>
      <c r="K110" s="139"/>
      <c r="L110" s="212"/>
      <c r="M110" s="108"/>
      <c r="N110" s="211"/>
      <c r="O110" s="151"/>
      <c r="P110" s="211" t="str">
        <f t="shared" si="5"/>
        <v/>
      </c>
    </row>
    <row r="111" spans="1:16" ht="15.75" thickBot="1">
      <c r="B111" s="134">
        <f>+B109+1</f>
        <v>63</v>
      </c>
      <c r="C111" s="133"/>
      <c r="D111" s="135" t="str">
        <f>"RATE BASE  (sum lns "&amp;B83&amp;", "&amp;B92&amp;", "&amp;B94&amp;", "&amp;B107&amp;", "&amp;B109&amp;")"</f>
        <v>RATE BASE  (sum lns 43, 50, 51, 61, 62)</v>
      </c>
      <c r="E111" s="139"/>
      <c r="F111" s="139"/>
      <c r="G111" s="254">
        <f>+G107+G94+G92+G83+G109</f>
        <v>231458407.48000002</v>
      </c>
      <c r="H111" s="139"/>
      <c r="I111" s="139"/>
      <c r="J111" s="267"/>
      <c r="K111" s="139"/>
      <c r="L111" s="254">
        <f>+L107+L94+L92+L83+L109</f>
        <v>216651511.5223242</v>
      </c>
      <c r="M111" s="108"/>
      <c r="N111" s="253">
        <v>226137055.69000003</v>
      </c>
      <c r="O111" s="151"/>
      <c r="P111" s="253">
        <f t="shared" si="5"/>
        <v>9485544.167675823</v>
      </c>
    </row>
    <row r="112" spans="1:16" ht="16.5" thickTop="1">
      <c r="B112" s="134"/>
      <c r="C112" s="108"/>
      <c r="D112" s="108"/>
      <c r="E112" s="337"/>
      <c r="F112" s="108"/>
      <c r="G112" s="108"/>
      <c r="H112" s="108"/>
      <c r="I112" s="249"/>
      <c r="J112" s="249"/>
      <c r="K112" s="249"/>
      <c r="L112" s="120"/>
      <c r="M112" s="108"/>
      <c r="N112" s="242"/>
      <c r="O112" s="151"/>
      <c r="P112" s="242" t="str">
        <f t="shared" si="5"/>
        <v/>
      </c>
    </row>
    <row r="113" spans="1:16">
      <c r="B113" s="134"/>
      <c r="C113" s="133"/>
      <c r="D113" s="135"/>
      <c r="E113" s="139"/>
      <c r="F113" s="139"/>
      <c r="G113" s="139"/>
      <c r="H113" s="139"/>
      <c r="I113" s="139"/>
      <c r="J113" s="139"/>
      <c r="K113" s="139"/>
      <c r="L113" s="139"/>
      <c r="M113" s="108"/>
      <c r="N113" s="174"/>
      <c r="O113" s="151"/>
      <c r="P113" s="174" t="str">
        <f t="shared" si="5"/>
        <v/>
      </c>
    </row>
    <row r="114" spans="1:16">
      <c r="B114" s="134"/>
      <c r="C114" s="133"/>
      <c r="D114" s="135"/>
      <c r="E114" s="139"/>
      <c r="F114" s="204" t="str">
        <f>F42</f>
        <v xml:space="preserve">AEP West SPP Member Companies </v>
      </c>
      <c r="G114" s="204"/>
      <c r="H114" s="139"/>
      <c r="I114" s="139"/>
      <c r="J114" s="139"/>
      <c r="K114" s="139"/>
      <c r="L114" s="139"/>
      <c r="M114" s="108"/>
      <c r="N114" s="174"/>
      <c r="O114" s="151"/>
      <c r="P114" s="174" t="str">
        <f t="shared" si="5"/>
        <v/>
      </c>
    </row>
    <row r="115" spans="1:16">
      <c r="B115" s="134"/>
      <c r="C115" s="133"/>
      <c r="D115" s="135"/>
      <c r="E115" s="139"/>
      <c r="F115" s="204" t="str">
        <f>F43</f>
        <v>Transmission Cost of Service Formula Rate</v>
      </c>
      <c r="G115" s="204"/>
      <c r="H115" s="139"/>
      <c r="I115" s="139"/>
      <c r="J115" s="139"/>
      <c r="K115" s="139"/>
      <c r="L115" s="139"/>
      <c r="M115" s="108"/>
      <c r="N115" s="174"/>
      <c r="O115" s="151"/>
      <c r="P115" s="174" t="str">
        <f t="shared" si="5"/>
        <v/>
      </c>
    </row>
    <row r="116" spans="1:16">
      <c r="B116" s="134"/>
      <c r="C116" s="133"/>
      <c r="D116" s="192"/>
      <c r="E116" s="139"/>
      <c r="F116" s="204" t="str">
        <f>F44</f>
        <v>Utilizing Actual Cost Data for 2014 with Average Ratebase Balances</v>
      </c>
      <c r="G116" s="139"/>
      <c r="H116" s="139"/>
      <c r="I116" s="139"/>
      <c r="J116" s="139"/>
      <c r="K116" s="139"/>
      <c r="L116" s="139"/>
      <c r="M116" s="108"/>
      <c r="N116" s="174"/>
      <c r="O116" s="151"/>
      <c r="P116" s="174" t="str">
        <f t="shared" ref="P116:P121" si="9">IF(N116="","",N116-L116)</f>
        <v/>
      </c>
    </row>
    <row r="117" spans="1:16">
      <c r="B117" s="134"/>
      <c r="C117" s="133"/>
      <c r="D117" s="192"/>
      <c r="E117" s="139"/>
      <c r="F117" s="204"/>
      <c r="G117" s="139"/>
      <c r="H117" s="139"/>
      <c r="I117" s="139"/>
      <c r="J117" s="139"/>
      <c r="K117" s="139"/>
      <c r="L117" s="139"/>
      <c r="M117" s="108"/>
      <c r="N117" s="174"/>
      <c r="O117" s="151"/>
      <c r="P117" s="174" t="str">
        <f t="shared" si="9"/>
        <v/>
      </c>
    </row>
    <row r="118" spans="1:16">
      <c r="B118" s="134"/>
      <c r="C118" s="133"/>
      <c r="D118" s="192"/>
      <c r="E118" s="140"/>
      <c r="F118" s="204" t="str">
        <f>F46</f>
        <v>AEP OKLAHOMA TRANSMISSION COMPANY, INC</v>
      </c>
      <c r="G118" s="140"/>
      <c r="H118" s="122"/>
      <c r="I118" s="140"/>
      <c r="J118" s="140"/>
      <c r="K118" s="140"/>
      <c r="L118" s="192"/>
      <c r="M118" s="108"/>
      <c r="N118" s="242"/>
      <c r="O118" s="151"/>
      <c r="P118" s="242" t="str">
        <f t="shared" si="9"/>
        <v/>
      </c>
    </row>
    <row r="119" spans="1:16">
      <c r="B119" s="134"/>
      <c r="C119" s="133"/>
      <c r="D119" s="192"/>
      <c r="E119" s="140"/>
      <c r="F119" s="204"/>
      <c r="G119" s="140"/>
      <c r="H119" s="122"/>
      <c r="I119" s="140"/>
      <c r="J119" s="140"/>
      <c r="K119" s="140"/>
      <c r="L119" s="192"/>
      <c r="M119" s="108"/>
      <c r="N119" s="242"/>
      <c r="O119" s="151"/>
      <c r="P119" s="242" t="str">
        <f t="shared" si="9"/>
        <v/>
      </c>
    </row>
    <row r="120" spans="1:16">
      <c r="B120" s="336"/>
      <c r="C120" s="192"/>
      <c r="D120" s="133" t="s">
        <v>462</v>
      </c>
      <c r="E120" s="133" t="s">
        <v>461</v>
      </c>
      <c r="F120" s="133"/>
      <c r="G120" s="133" t="s">
        <v>460</v>
      </c>
      <c r="H120" s="131"/>
      <c r="I120" s="481" t="s">
        <v>459</v>
      </c>
      <c r="J120" s="482"/>
      <c r="K120" s="139"/>
      <c r="L120" s="335" t="s">
        <v>458</v>
      </c>
      <c r="M120" s="108"/>
      <c r="N120" s="334" t="s">
        <v>458</v>
      </c>
      <c r="O120" s="151"/>
      <c r="P120" s="334">
        <f t="shared" si="9"/>
        <v>0</v>
      </c>
    </row>
    <row r="121" spans="1:16" ht="15.75">
      <c r="B121" s="104"/>
      <c r="C121" s="192"/>
      <c r="D121" s="133"/>
      <c r="E121" s="133"/>
      <c r="F121" s="133"/>
      <c r="G121" s="133"/>
      <c r="H121" s="131"/>
      <c r="I121" s="139"/>
      <c r="J121" s="333"/>
      <c r="K121" s="139"/>
      <c r="L121" s="192"/>
      <c r="M121" s="108"/>
      <c r="N121" s="242"/>
      <c r="O121" s="327"/>
      <c r="P121" s="242" t="str">
        <f t="shared" si="9"/>
        <v/>
      </c>
    </row>
    <row r="122" spans="1:16" ht="15.75">
      <c r="B122" s="332"/>
      <c r="C122" s="133"/>
      <c r="D122" s="141" t="s">
        <v>457</v>
      </c>
      <c r="E122" s="330" t="str">
        <f>E50</f>
        <v>Data Sources</v>
      </c>
      <c r="F122" s="331"/>
      <c r="G122" s="139"/>
      <c r="H122" s="131"/>
      <c r="I122" s="139"/>
      <c r="J122" s="133"/>
      <c r="K122" s="139"/>
      <c r="L122" s="330" t="str">
        <f>L50</f>
        <v>Total</v>
      </c>
      <c r="M122" s="108"/>
      <c r="N122" s="329" t="s">
        <v>372</v>
      </c>
      <c r="O122" s="327"/>
      <c r="P122" s="329" t="s">
        <v>372</v>
      </c>
    </row>
    <row r="123" spans="1:16" ht="15.75">
      <c r="B123" s="104"/>
      <c r="C123" s="132"/>
      <c r="D123" s="322" t="s">
        <v>456</v>
      </c>
      <c r="E123" s="328" t="str">
        <f>E51</f>
        <v>(See "General Notes")</v>
      </c>
      <c r="F123" s="139"/>
      <c r="G123" s="328" t="str">
        <f>G51</f>
        <v>TO Total</v>
      </c>
      <c r="H123" s="196"/>
      <c r="I123" s="471" t="str">
        <f>I51</f>
        <v>Allocator</v>
      </c>
      <c r="J123" s="472"/>
      <c r="K123" s="191"/>
      <c r="L123" s="328" t="str">
        <f>L51</f>
        <v>Transmission</v>
      </c>
      <c r="M123" s="108"/>
      <c r="N123" s="326" t="s">
        <v>455</v>
      </c>
      <c r="O123" s="327"/>
      <c r="P123" s="326" t="s">
        <v>455</v>
      </c>
    </row>
    <row r="124" spans="1:16" ht="15.75">
      <c r="B124" s="325" t="str">
        <f>B52</f>
        <v>Line</v>
      </c>
      <c r="C124" s="192"/>
      <c r="D124" s="135"/>
      <c r="E124" s="139"/>
      <c r="F124" s="139"/>
      <c r="G124" s="322"/>
      <c r="H124" s="324"/>
      <c r="I124" s="141"/>
      <c r="J124" s="192"/>
      <c r="K124" s="323"/>
      <c r="L124" s="322"/>
      <c r="M124" s="108"/>
      <c r="N124" s="321"/>
      <c r="O124" s="151"/>
      <c r="P124" s="321" t="str">
        <f t="shared" ref="P124:P155" si="10">IF(N124="","",N124-L124)</f>
        <v/>
      </c>
    </row>
    <row r="125" spans="1:16" ht="15.75" thickBot="1">
      <c r="B125" s="243" t="str">
        <f>B53</f>
        <v>No.</v>
      </c>
      <c r="C125" s="133"/>
      <c r="D125" s="135" t="s">
        <v>454</v>
      </c>
      <c r="E125" s="139"/>
      <c r="F125" s="139"/>
      <c r="G125" s="139"/>
      <c r="H125" s="131"/>
      <c r="I125" s="204"/>
      <c r="J125" s="139"/>
      <c r="K125" s="139"/>
      <c r="L125" s="139"/>
      <c r="M125" s="108"/>
      <c r="N125" s="174"/>
      <c r="O125" s="151"/>
      <c r="P125" s="174" t="str">
        <f t="shared" si="10"/>
        <v/>
      </c>
    </row>
    <row r="126" spans="1:16">
      <c r="B126" s="319">
        <f>+B111+1</f>
        <v>64</v>
      </c>
      <c r="C126" s="133"/>
      <c r="D126" s="119" t="s">
        <v>453</v>
      </c>
      <c r="E126" s="139" t="s">
        <v>452</v>
      </c>
      <c r="F126" s="131"/>
      <c r="G126" s="237">
        <f>+'[3]OKT Historic TCOS'!G136</f>
        <v>764804</v>
      </c>
      <c r="H126" s="154"/>
      <c r="I126" s="108"/>
      <c r="J126" s="108"/>
      <c r="K126" s="108"/>
      <c r="L126" s="108"/>
      <c r="M126" s="108"/>
      <c r="N126" s="317"/>
      <c r="O126" s="269"/>
      <c r="P126" s="317" t="str">
        <f t="shared" si="10"/>
        <v/>
      </c>
    </row>
    <row r="127" spans="1:16">
      <c r="A127" s="108"/>
      <c r="B127" s="319">
        <f>+B126+1</f>
        <v>65</v>
      </c>
      <c r="C127" s="133"/>
      <c r="D127" s="119" t="s">
        <v>451</v>
      </c>
      <c r="E127" s="131" t="s">
        <v>435</v>
      </c>
      <c r="F127" s="131"/>
      <c r="G127" s="237">
        <f>+'[3]OKT Historic TCOS'!G137</f>
        <v>11227</v>
      </c>
      <c r="H127" s="154"/>
      <c r="I127" s="108"/>
      <c r="J127" s="108"/>
      <c r="K127" s="108"/>
      <c r="L127" s="108"/>
      <c r="M127" s="108"/>
      <c r="N127" s="317"/>
      <c r="O127" s="269"/>
      <c r="P127" s="317" t="str">
        <f t="shared" si="10"/>
        <v/>
      </c>
    </row>
    <row r="128" spans="1:16">
      <c r="A128" s="108"/>
      <c r="B128" s="319">
        <f>+B127+1</f>
        <v>66</v>
      </c>
      <c r="C128" s="133"/>
      <c r="D128" s="119" t="s">
        <v>450</v>
      </c>
      <c r="E128" s="131" t="s">
        <v>433</v>
      </c>
      <c r="F128" s="131"/>
      <c r="G128" s="237">
        <f>+'[3]OKT Historic TCOS'!G138</f>
        <v>0</v>
      </c>
      <c r="H128" s="154"/>
      <c r="I128" s="108"/>
      <c r="J128" s="108"/>
      <c r="K128" s="108"/>
      <c r="L128" s="108"/>
      <c r="M128" s="108"/>
      <c r="N128" s="317"/>
      <c r="O128" s="269"/>
      <c r="P128" s="317" t="str">
        <f t="shared" si="10"/>
        <v/>
      </c>
    </row>
    <row r="129" spans="1:16" ht="15.75" thickBot="1">
      <c r="A129" s="108"/>
      <c r="B129" s="319">
        <f>+B128+1</f>
        <v>67</v>
      </c>
      <c r="C129" s="133"/>
      <c r="D129" s="119" t="str">
        <f>"Less: expenses 100% assigned to TO billed customers (Worksheet I, ln "&amp;'[3]OKT WS I Exp Adj'!B21&amp;")"</f>
        <v>Less: expenses 100% assigned to TO billed customers (Worksheet I, ln 14)</v>
      </c>
      <c r="E129" s="131"/>
      <c r="F129" s="131"/>
      <c r="G129" s="320">
        <f>+'[3]OKT WS I Exp Adj'!G21</f>
        <v>0</v>
      </c>
      <c r="H129" s="154"/>
      <c r="I129" s="108"/>
      <c r="J129" s="108"/>
      <c r="K129" s="108"/>
      <c r="L129" s="108"/>
      <c r="M129" s="108"/>
      <c r="N129" s="317"/>
      <c r="O129" s="269"/>
      <c r="P129" s="317" t="str">
        <f t="shared" si="10"/>
        <v/>
      </c>
    </row>
    <row r="130" spans="1:16">
      <c r="A130" s="108"/>
      <c r="B130" s="319">
        <f>+B129+1</f>
        <v>68</v>
      </c>
      <c r="C130" s="133"/>
      <c r="D130" s="119" t="s">
        <v>449</v>
      </c>
      <c r="E130" s="139" t="str">
        <f>"(lns "&amp;B126&amp;" - "&amp;B127&amp;" - "&amp;B128&amp;" - "&amp;B129&amp;")"</f>
        <v>(lns 64 - 65 - 66 - 67)</v>
      </c>
      <c r="F130" s="119"/>
      <c r="G130" s="154">
        <f>+G126-G127-G128-G129</f>
        <v>753577</v>
      </c>
      <c r="H130" s="131"/>
      <c r="I130" s="204" t="s">
        <v>264</v>
      </c>
      <c r="J130" s="214">
        <f>VLOOKUP(I130,PSO_TU_Allocators,2,FALSE)</f>
        <v>0.95849358162549603</v>
      </c>
      <c r="K130" s="131"/>
      <c r="L130" s="154">
        <f>+J130*G130</f>
        <v>722298.71776059642</v>
      </c>
      <c r="M130" s="108"/>
      <c r="N130" s="209">
        <v>753577</v>
      </c>
      <c r="O130" s="269"/>
      <c r="P130" s="209">
        <f t="shared" si="10"/>
        <v>31278.282239403576</v>
      </c>
    </row>
    <row r="131" spans="1:16">
      <c r="A131" s="108"/>
      <c r="B131" s="134"/>
      <c r="C131" s="133"/>
      <c r="D131" s="119"/>
      <c r="E131" s="131"/>
      <c r="F131" s="131"/>
      <c r="G131" s="318"/>
      <c r="H131" s="154"/>
      <c r="I131" s="108"/>
      <c r="J131" s="108"/>
      <c r="K131" s="108"/>
      <c r="L131" s="108"/>
      <c r="M131" s="108"/>
      <c r="N131" s="317"/>
      <c r="O131" s="269"/>
      <c r="P131" s="317" t="str">
        <f t="shared" si="10"/>
        <v/>
      </c>
    </row>
    <row r="132" spans="1:16">
      <c r="A132" s="108"/>
      <c r="B132" s="134">
        <f>+B130+1</f>
        <v>69</v>
      </c>
      <c r="C132" s="133"/>
      <c r="D132" s="135" t="s">
        <v>448</v>
      </c>
      <c r="E132" s="139" t="s">
        <v>447</v>
      </c>
      <c r="F132" s="139"/>
      <c r="G132" s="154">
        <f>+'[3]OKT Historic TCOS'!G142</f>
        <v>1450737</v>
      </c>
      <c r="H132" s="154"/>
      <c r="I132" s="287"/>
      <c r="J132" s="287"/>
      <c r="K132" s="139"/>
      <c r="L132" s="210"/>
      <c r="M132" s="108"/>
      <c r="N132" s="209"/>
      <c r="O132" s="269"/>
      <c r="P132" s="209" t="str">
        <f t="shared" si="10"/>
        <v/>
      </c>
    </row>
    <row r="133" spans="1:16">
      <c r="A133" s="108"/>
      <c r="B133" s="134">
        <f t="shared" ref="B133:B141" si="11">+B132+1</f>
        <v>70</v>
      </c>
      <c r="C133" s="133"/>
      <c r="D133" s="119" t="s">
        <v>446</v>
      </c>
      <c r="E133" s="139" t="s">
        <v>445</v>
      </c>
      <c r="F133" s="139"/>
      <c r="G133" s="154">
        <f>+'[3]OKT Historic TCOS'!G143</f>
        <v>88138</v>
      </c>
      <c r="H133" s="154"/>
      <c r="I133" s="287"/>
      <c r="J133" s="135"/>
      <c r="K133" s="139"/>
      <c r="L133" s="210"/>
      <c r="M133" s="108"/>
      <c r="N133" s="209"/>
      <c r="O133" s="269"/>
      <c r="P133" s="209" t="str">
        <f t="shared" si="10"/>
        <v/>
      </c>
    </row>
    <row r="134" spans="1:16">
      <c r="B134" s="134">
        <f t="shared" si="11"/>
        <v>71</v>
      </c>
      <c r="C134" s="133"/>
      <c r="D134" s="135" t="s">
        <v>444</v>
      </c>
      <c r="E134" s="139" t="s">
        <v>443</v>
      </c>
      <c r="F134" s="131"/>
      <c r="G134" s="154">
        <f>+'[3]OKT Historic TCOS'!G144</f>
        <v>0</v>
      </c>
      <c r="H134" s="154"/>
      <c r="I134" s="287"/>
      <c r="J134" s="316"/>
      <c r="K134" s="139"/>
      <c r="L134" s="210"/>
      <c r="M134" s="108"/>
      <c r="N134" s="209"/>
      <c r="O134" s="269"/>
      <c r="P134" s="209" t="str">
        <f t="shared" si="10"/>
        <v/>
      </c>
    </row>
    <row r="135" spans="1:16">
      <c r="B135" s="134">
        <f t="shared" si="11"/>
        <v>72</v>
      </c>
      <c r="C135" s="133"/>
      <c r="D135" s="119" t="s">
        <v>442</v>
      </c>
      <c r="E135" s="139" t="s">
        <v>441</v>
      </c>
      <c r="F135" s="131"/>
      <c r="G135" s="154">
        <f>+'[3]OKT Historic TCOS'!G145</f>
        <v>0</v>
      </c>
      <c r="H135" s="154"/>
      <c r="I135" s="287"/>
      <c r="J135" s="287"/>
      <c r="K135" s="139"/>
      <c r="L135" s="210"/>
      <c r="M135" s="108"/>
      <c r="N135" s="209"/>
      <c r="O135" s="269"/>
      <c r="P135" s="209" t="str">
        <f t="shared" si="10"/>
        <v/>
      </c>
    </row>
    <row r="136" spans="1:16" ht="15.75" thickBot="1">
      <c r="B136" s="134">
        <f t="shared" si="11"/>
        <v>73</v>
      </c>
      <c r="C136" s="133"/>
      <c r="D136" s="119" t="s">
        <v>440</v>
      </c>
      <c r="E136" s="139" t="s">
        <v>439</v>
      </c>
      <c r="F136" s="131"/>
      <c r="G136" s="163">
        <f>+'[3]OKT Historic TCOS'!G146</f>
        <v>31363</v>
      </c>
      <c r="H136" s="154"/>
      <c r="I136" s="287"/>
      <c r="J136" s="287"/>
      <c r="K136" s="139"/>
      <c r="L136" s="210"/>
      <c r="M136" s="108"/>
      <c r="N136" s="209"/>
      <c r="O136" s="269"/>
      <c r="P136" s="209" t="str">
        <f t="shared" si="10"/>
        <v/>
      </c>
    </row>
    <row r="137" spans="1:16">
      <c r="B137" s="134">
        <f t="shared" si="11"/>
        <v>74</v>
      </c>
      <c r="C137" s="133"/>
      <c r="D137" s="135" t="s">
        <v>438</v>
      </c>
      <c r="E137" s="131" t="str">
        <f>"(ln "&amp;B132&amp;" - sum ln "&amp;B133&amp;"  to ln "&amp;B136&amp;")"</f>
        <v>(ln 69 - sum ln 70  to ln 73)</v>
      </c>
      <c r="F137" s="131"/>
      <c r="G137" s="154">
        <f>G132-SUM(G133:G136)</f>
        <v>1331236</v>
      </c>
      <c r="H137" s="154"/>
      <c r="I137" s="204" t="s">
        <v>262</v>
      </c>
      <c r="J137" s="214">
        <f t="shared" ref="J137:J142" si="12">VLOOKUP(I137,PSO_TU_Allocators,2,FALSE)</f>
        <v>0.95849358162549603</v>
      </c>
      <c r="K137" s="139"/>
      <c r="L137" s="210">
        <f>+J137*G137</f>
        <v>1275981.1616287988</v>
      </c>
      <c r="M137" s="108"/>
      <c r="N137" s="209">
        <v>1331236</v>
      </c>
      <c r="O137" s="269"/>
      <c r="P137" s="209">
        <f t="shared" si="10"/>
        <v>55254.838371201186</v>
      </c>
    </row>
    <row r="138" spans="1:16">
      <c r="B138" s="115">
        <f t="shared" si="11"/>
        <v>75</v>
      </c>
      <c r="C138" s="114"/>
      <c r="D138" s="119" t="s">
        <v>437</v>
      </c>
      <c r="E138" s="131" t="str">
        <f>"(ln "&amp;B133&amp;")"</f>
        <v>(ln 70)</v>
      </c>
      <c r="F138" s="131"/>
      <c r="G138" s="154">
        <f>+G133</f>
        <v>88138</v>
      </c>
      <c r="H138" s="154"/>
      <c r="I138" s="315" t="s">
        <v>268</v>
      </c>
      <c r="J138" s="214">
        <f t="shared" si="12"/>
        <v>0.95849358162549603</v>
      </c>
      <c r="K138" s="131"/>
      <c r="L138" s="154">
        <f>+J138*G138</f>
        <v>84479.707297307963</v>
      </c>
      <c r="M138" s="108"/>
      <c r="N138" s="209">
        <v>88138</v>
      </c>
      <c r="O138" s="269"/>
      <c r="P138" s="209">
        <f t="shared" si="10"/>
        <v>3658.292702692037</v>
      </c>
    </row>
    <row r="139" spans="1:16">
      <c r="B139" s="134">
        <f t="shared" si="11"/>
        <v>76</v>
      </c>
      <c r="C139" s="133"/>
      <c r="D139" s="119" t="s">
        <v>436</v>
      </c>
      <c r="E139" s="131" t="s">
        <v>435</v>
      </c>
      <c r="F139" s="131"/>
      <c r="G139" s="154">
        <f>+'[3]OKT WS J Misc Exp'!F23</f>
        <v>0</v>
      </c>
      <c r="H139" s="154"/>
      <c r="I139" s="204" t="s">
        <v>264</v>
      </c>
      <c r="J139" s="214">
        <f t="shared" si="12"/>
        <v>0.95849358162549603</v>
      </c>
      <c r="K139" s="139"/>
      <c r="L139" s="210">
        <f>J139*G139</f>
        <v>0</v>
      </c>
      <c r="M139" s="108"/>
      <c r="N139" s="209">
        <v>0</v>
      </c>
      <c r="O139" s="269"/>
      <c r="P139" s="209">
        <f t="shared" si="10"/>
        <v>0</v>
      </c>
    </row>
    <row r="140" spans="1:16">
      <c r="B140" s="134">
        <f t="shared" si="11"/>
        <v>77</v>
      </c>
      <c r="C140" s="133"/>
      <c r="D140" s="119" t="s">
        <v>434</v>
      </c>
      <c r="E140" s="131" t="s">
        <v>433</v>
      </c>
      <c r="F140" s="131"/>
      <c r="G140" s="237">
        <f>'[3]OKT WS J Misc Exp'!F43</f>
        <v>0</v>
      </c>
      <c r="H140" s="131"/>
      <c r="I140" s="175" t="s">
        <v>268</v>
      </c>
      <c r="J140" s="214">
        <f t="shared" si="12"/>
        <v>0.95849358162549603</v>
      </c>
      <c r="K140" s="139"/>
      <c r="L140" s="252">
        <f>+J140*G140</f>
        <v>0</v>
      </c>
      <c r="M140" s="108"/>
      <c r="N140" s="236">
        <v>0</v>
      </c>
      <c r="O140" s="269"/>
      <c r="P140" s="236">
        <f t="shared" si="10"/>
        <v>0</v>
      </c>
    </row>
    <row r="141" spans="1:16">
      <c r="B141" s="134">
        <f t="shared" si="11"/>
        <v>78</v>
      </c>
      <c r="C141" s="133"/>
      <c r="D141" s="119" t="s">
        <v>432</v>
      </c>
      <c r="E141" s="131" t="str">
        <f>"Worksheet J ln "&amp;'[3]OKT WS J Misc Exp'!A52&amp;".(E) (Note L)"</f>
        <v>Worksheet J ln 32.(E) (Note L)</v>
      </c>
      <c r="F141" s="131"/>
      <c r="G141" s="237">
        <f>'[3]OKT WS J Misc Exp'!F52</f>
        <v>0</v>
      </c>
      <c r="H141" s="131"/>
      <c r="I141" s="175" t="s">
        <v>269</v>
      </c>
      <c r="J141" s="214">
        <f t="shared" si="12"/>
        <v>1</v>
      </c>
      <c r="K141" s="139"/>
      <c r="L141" s="210">
        <f>J141*G141</f>
        <v>0</v>
      </c>
      <c r="M141" s="108"/>
      <c r="N141" s="209">
        <v>0</v>
      </c>
      <c r="O141" s="269"/>
      <c r="P141" s="209">
        <f t="shared" si="10"/>
        <v>0</v>
      </c>
    </row>
    <row r="142" spans="1:16" s="105" customFormat="1">
      <c r="B142" s="115" t="s">
        <v>431</v>
      </c>
      <c r="C142" s="114"/>
      <c r="D142" s="314" t="s">
        <v>430</v>
      </c>
      <c r="E142" s="131" t="str">
        <f>"Worksheet O ln "&amp;'[3]OKT WS O  PBOP'!A30&amp;".B"</f>
        <v>Worksheet O ln 16.B</v>
      </c>
      <c r="F142" s="131"/>
      <c r="G142" s="237">
        <f>'[3]OKT WS O  PBOP'!D30</f>
        <v>29273.869975956379</v>
      </c>
      <c r="H142" s="131"/>
      <c r="I142" s="175" t="s">
        <v>269</v>
      </c>
      <c r="J142" s="214">
        <f t="shared" si="12"/>
        <v>1</v>
      </c>
      <c r="K142" s="131"/>
      <c r="L142" s="154">
        <f>G142</f>
        <v>29273.869975956379</v>
      </c>
      <c r="M142" s="304"/>
      <c r="N142" s="209">
        <v>29273.869975956379</v>
      </c>
      <c r="O142" s="269"/>
      <c r="P142" s="209">
        <f t="shared" si="10"/>
        <v>0</v>
      </c>
    </row>
    <row r="143" spans="1:16" s="105" customFormat="1" ht="15.75" thickBot="1">
      <c r="B143" s="115">
        <f>+B141+1</f>
        <v>79</v>
      </c>
      <c r="C143" s="114"/>
      <c r="D143" s="119" t="s">
        <v>429</v>
      </c>
      <c r="E143" s="131" t="str">
        <f>"(sum lns "&amp;B137&amp;"  to "&amp;B141&amp;" less ln "&amp;B142&amp;")"</f>
        <v>(sum lns 74  to 78 less ln 78a)</v>
      </c>
      <c r="F143" s="131"/>
      <c r="G143" s="163">
        <f>SUM(G137:G142)</f>
        <v>1448647.8699759564</v>
      </c>
      <c r="H143" s="154"/>
      <c r="I143" s="175"/>
      <c r="J143" s="313"/>
      <c r="K143" s="131"/>
      <c r="L143" s="163">
        <f>SUM(L137:L142)</f>
        <v>1389734.7389020631</v>
      </c>
      <c r="M143" s="304"/>
      <c r="N143" s="211">
        <v>1448647.8699759564</v>
      </c>
      <c r="O143" s="269"/>
      <c r="P143" s="211">
        <f t="shared" si="10"/>
        <v>58913.131073893281</v>
      </c>
    </row>
    <row r="144" spans="1:16" s="105" customFormat="1">
      <c r="B144" s="115">
        <f>+B143+1</f>
        <v>80</v>
      </c>
      <c r="C144" s="114"/>
      <c r="D144" s="119" t="s">
        <v>428</v>
      </c>
      <c r="E144" s="131" t="str">
        <f>"(ln "&amp;B130&amp;" + ln "&amp;B143&amp;")"</f>
        <v>(ln 68 + ln 79)</v>
      </c>
      <c r="F144" s="131"/>
      <c r="G144" s="237">
        <f>G130+G143</f>
        <v>2202224.8699759562</v>
      </c>
      <c r="H144" s="154"/>
      <c r="I144" s="175"/>
      <c r="J144" s="126"/>
      <c r="K144" s="131"/>
      <c r="L144" s="154">
        <f>+L143+L130</f>
        <v>2112033.4566626595</v>
      </c>
      <c r="M144" s="304"/>
      <c r="N144" s="209">
        <v>2202224.8699759562</v>
      </c>
      <c r="O144" s="269"/>
      <c r="P144" s="209">
        <f t="shared" si="10"/>
        <v>90191.413313296624</v>
      </c>
    </row>
    <row r="145" spans="1:16" s="105" customFormat="1">
      <c r="B145" s="115"/>
      <c r="C145" s="114"/>
      <c r="D145" s="119"/>
      <c r="E145" s="131"/>
      <c r="F145" s="131"/>
      <c r="G145" s="237"/>
      <c r="H145" s="233"/>
      <c r="I145" s="234"/>
      <c r="J145" s="312"/>
      <c r="K145" s="233"/>
      <c r="L145" s="237"/>
      <c r="M145" s="304"/>
      <c r="N145" s="236"/>
      <c r="O145" s="269"/>
      <c r="P145" s="236" t="str">
        <f t="shared" si="10"/>
        <v/>
      </c>
    </row>
    <row r="146" spans="1:16" s="105" customFormat="1">
      <c r="B146" s="115">
        <f>+B144+1</f>
        <v>81</v>
      </c>
      <c r="C146" s="114"/>
      <c r="D146" s="155" t="s">
        <v>427</v>
      </c>
      <c r="E146" s="175"/>
      <c r="F146" s="175"/>
      <c r="G146" s="237"/>
      <c r="H146" s="233"/>
      <c r="I146" s="234"/>
      <c r="J146" s="233"/>
      <c r="K146" s="233"/>
      <c r="L146" s="237"/>
      <c r="M146" s="304"/>
      <c r="N146" s="236"/>
      <c r="O146" s="269"/>
      <c r="P146" s="236" t="str">
        <f t="shared" si="10"/>
        <v/>
      </c>
    </row>
    <row r="147" spans="1:16" s="105" customFormat="1">
      <c r="B147" s="115">
        <f>+B146+1</f>
        <v>82</v>
      </c>
      <c r="C147" s="114"/>
      <c r="D147" s="307" t="str">
        <f>+D126</f>
        <v xml:space="preserve">  Transmission </v>
      </c>
      <c r="E147" s="305" t="s">
        <v>426</v>
      </c>
      <c r="F147" s="306"/>
      <c r="G147" s="309">
        <f>+'[3]OKT Historic TCOS'!G158</f>
        <v>5911259</v>
      </c>
      <c r="H147" s="154"/>
      <c r="I147" s="311" t="s">
        <v>264</v>
      </c>
      <c r="J147" s="214">
        <f>VLOOKUP(I147,PSO_TU_Allocators,2,FALSE)</f>
        <v>0.95849358162549603</v>
      </c>
      <c r="K147" s="310"/>
      <c r="L147" s="309">
        <f>J147*G147</f>
        <v>5665903.8108259477</v>
      </c>
      <c r="M147" s="304"/>
      <c r="N147" s="308">
        <v>5911259</v>
      </c>
      <c r="O147" s="269"/>
      <c r="P147" s="308">
        <f t="shared" si="10"/>
        <v>245355.18917405233</v>
      </c>
    </row>
    <row r="148" spans="1:16" s="105" customFormat="1">
      <c r="B148" s="115">
        <f>+B147+1</f>
        <v>83</v>
      </c>
      <c r="C148" s="114"/>
      <c r="D148" s="155" t="s">
        <v>425</v>
      </c>
      <c r="E148" s="306" t="s">
        <v>424</v>
      </c>
      <c r="F148" s="131"/>
      <c r="G148" s="154">
        <f>+'[3]OKT Historic TCOS'!G161</f>
        <v>0</v>
      </c>
      <c r="H148" s="154"/>
      <c r="I148" s="175" t="s">
        <v>262</v>
      </c>
      <c r="J148" s="214">
        <f>VLOOKUP(I148,PSO_TU_Allocators,2,FALSE)</f>
        <v>0.95849358162549603</v>
      </c>
      <c r="K148" s="131"/>
      <c r="L148" s="154">
        <f>+J148*G148</f>
        <v>0</v>
      </c>
      <c r="M148" s="304"/>
      <c r="N148" s="209">
        <v>0</v>
      </c>
      <c r="O148" s="269"/>
      <c r="P148" s="209">
        <f t="shared" si="10"/>
        <v>0</v>
      </c>
    </row>
    <row r="149" spans="1:16" s="105" customFormat="1">
      <c r="B149" s="115" t="s">
        <v>423</v>
      </c>
      <c r="C149" s="114"/>
      <c r="D149" s="307" t="s">
        <v>422</v>
      </c>
      <c r="E149" s="131" t="str">
        <f>"(Worksheet A ln "&amp;'[3]OKT WS A RB Support '!A90&amp;".E)"</f>
        <v>(Worksheet A ln 37.E)</v>
      </c>
      <c r="F149" s="306"/>
      <c r="G149" s="154">
        <f>+'[3]OKT WS A RB Support '!G88</f>
        <v>21082.666666666664</v>
      </c>
      <c r="H149" s="154"/>
      <c r="I149" s="175" t="s">
        <v>269</v>
      </c>
      <c r="J149" s="214">
        <v>1</v>
      </c>
      <c r="K149" s="131"/>
      <c r="L149" s="154">
        <f>J149*G149</f>
        <v>21082.666666666664</v>
      </c>
      <c r="M149" s="304"/>
      <c r="N149" s="209">
        <v>21082.666666666664</v>
      </c>
      <c r="O149" s="269"/>
      <c r="P149" s="209">
        <f t="shared" si="10"/>
        <v>0</v>
      </c>
    </row>
    <row r="150" spans="1:16" s="105" customFormat="1" ht="15.75" thickBot="1">
      <c r="B150" s="115">
        <f>+B148+1</f>
        <v>84</v>
      </c>
      <c r="C150" s="114"/>
      <c r="D150" s="155" t="s">
        <v>421</v>
      </c>
      <c r="E150" s="306" t="s">
        <v>420</v>
      </c>
      <c r="F150" s="131"/>
      <c r="G150" s="163">
        <f>+'[3]OKT Historic TCOS'!G162</f>
        <v>218615</v>
      </c>
      <c r="H150" s="154"/>
      <c r="I150" s="175" t="s">
        <v>262</v>
      </c>
      <c r="J150" s="214">
        <f>VLOOKUP(I150,PSO_TU_Allocators,2,FALSE)</f>
        <v>0.95849358162549603</v>
      </c>
      <c r="K150" s="131"/>
      <c r="L150" s="163">
        <f>+J150*G150</f>
        <v>209541.07434705782</v>
      </c>
      <c r="M150" s="304"/>
      <c r="N150" s="211">
        <v>218615</v>
      </c>
      <c r="O150" s="269"/>
      <c r="P150" s="211">
        <f t="shared" si="10"/>
        <v>9073.9256529421837</v>
      </c>
    </row>
    <row r="151" spans="1:16" s="105" customFormat="1">
      <c r="B151" s="115">
        <f>+B150+1</f>
        <v>85</v>
      </c>
      <c r="C151" s="114"/>
      <c r="D151" s="155" t="s">
        <v>419</v>
      </c>
      <c r="E151" s="305" t="str">
        <f>"(sum lns "&amp;B147&amp;" to "&amp;B150&amp;")"</f>
        <v>(sum lns 82 to 84)</v>
      </c>
      <c r="F151" s="131"/>
      <c r="G151" s="154">
        <f>SUM(G147:G150)</f>
        <v>6150956.666666667</v>
      </c>
      <c r="H151" s="131"/>
      <c r="I151" s="175"/>
      <c r="J151" s="131"/>
      <c r="K151" s="131"/>
      <c r="L151" s="154">
        <f>SUM(L147:L150)</f>
        <v>5896527.551839672</v>
      </c>
      <c r="M151" s="304"/>
      <c r="N151" s="209">
        <v>6150956.666666667</v>
      </c>
      <c r="O151" s="269"/>
      <c r="P151" s="209">
        <f t="shared" si="10"/>
        <v>254429.11482699495</v>
      </c>
    </row>
    <row r="152" spans="1:16">
      <c r="B152" s="134"/>
      <c r="C152" s="133"/>
      <c r="D152" s="205"/>
      <c r="E152" s="303"/>
      <c r="F152" s="139"/>
      <c r="G152" s="210"/>
      <c r="H152" s="131"/>
      <c r="I152" s="204"/>
      <c r="J152" s="139"/>
      <c r="K152" s="139"/>
      <c r="L152" s="210"/>
      <c r="M152" s="108"/>
      <c r="N152" s="209"/>
      <c r="O152" s="269"/>
      <c r="P152" s="209" t="str">
        <f t="shared" si="10"/>
        <v/>
      </c>
    </row>
    <row r="153" spans="1:16">
      <c r="B153" s="134">
        <f>+B151+1</f>
        <v>86</v>
      </c>
      <c r="C153" s="133"/>
      <c r="D153" s="205" t="s">
        <v>418</v>
      </c>
      <c r="E153" s="120" t="s">
        <v>417</v>
      </c>
      <c r="F153" s="192"/>
      <c r="G153" s="210"/>
      <c r="H153" s="131"/>
      <c r="I153" s="204"/>
      <c r="J153" s="139"/>
      <c r="K153" s="139"/>
      <c r="L153" s="210"/>
      <c r="M153" s="108"/>
      <c r="N153" s="209"/>
      <c r="O153" s="269"/>
      <c r="P153" s="209" t="str">
        <f t="shared" si="10"/>
        <v/>
      </c>
    </row>
    <row r="154" spans="1:16">
      <c r="B154" s="134">
        <f t="shared" ref="B154:B160" si="13">+B153+1</f>
        <v>87</v>
      </c>
      <c r="C154" s="133"/>
      <c r="D154" s="205" t="s">
        <v>416</v>
      </c>
      <c r="E154" s="192"/>
      <c r="F154" s="192"/>
      <c r="G154" s="210"/>
      <c r="H154" s="131"/>
      <c r="I154" s="204"/>
      <c r="J154" s="192"/>
      <c r="K154" s="139"/>
      <c r="L154" s="210"/>
      <c r="M154" s="108"/>
      <c r="N154" s="209"/>
      <c r="O154" s="269"/>
      <c r="P154" s="209" t="str">
        <f t="shared" si="10"/>
        <v/>
      </c>
    </row>
    <row r="155" spans="1:16">
      <c r="B155" s="134">
        <f t="shared" si="13"/>
        <v>88</v>
      </c>
      <c r="C155" s="133"/>
      <c r="D155" s="205" t="s">
        <v>415</v>
      </c>
      <c r="E155" s="131" t="s">
        <v>414</v>
      </c>
      <c r="F155" s="131"/>
      <c r="G155" s="154">
        <f>+'[3]OKT WS L Other Taxes'!I46</f>
        <v>0</v>
      </c>
      <c r="H155" s="154"/>
      <c r="I155" s="204" t="s">
        <v>262</v>
      </c>
      <c r="J155" s="214">
        <f>VLOOKUP(I155,PSO_TU_Allocators,2,FALSE)</f>
        <v>0.95849358162549603</v>
      </c>
      <c r="K155" s="139"/>
      <c r="L155" s="210">
        <f>+J155*G155</f>
        <v>0</v>
      </c>
      <c r="M155" s="108"/>
      <c r="N155" s="209">
        <v>0</v>
      </c>
      <c r="O155" s="269"/>
      <c r="P155" s="209">
        <f t="shared" si="10"/>
        <v>0</v>
      </c>
    </row>
    <row r="156" spans="1:16">
      <c r="B156" s="134">
        <f t="shared" si="13"/>
        <v>89</v>
      </c>
      <c r="C156" s="133"/>
      <c r="D156" s="205" t="s">
        <v>413</v>
      </c>
      <c r="E156" s="131" t="s">
        <v>288</v>
      </c>
      <c r="F156" s="131"/>
      <c r="G156" s="154"/>
      <c r="H156" s="154"/>
      <c r="I156" s="204"/>
      <c r="J156" s="192"/>
      <c r="K156" s="139"/>
      <c r="L156" s="210"/>
      <c r="M156" s="108"/>
      <c r="N156" s="209"/>
      <c r="O156" s="269"/>
      <c r="P156" s="209" t="str">
        <f t="shared" ref="P156:P187" si="14">IF(N156="","",N156-L156)</f>
        <v/>
      </c>
    </row>
    <row r="157" spans="1:16">
      <c r="A157" s="105"/>
      <c r="B157" s="115">
        <f t="shared" si="13"/>
        <v>90</v>
      </c>
      <c r="C157" s="114"/>
      <c r="D157" s="155" t="s">
        <v>412</v>
      </c>
      <c r="E157" s="131" t="s">
        <v>411</v>
      </c>
      <c r="F157" s="131"/>
      <c r="G157" s="154">
        <f>+'[3]OKT WS L Other Taxes'!G46</f>
        <v>2530749</v>
      </c>
      <c r="H157" s="154"/>
      <c r="I157" s="175" t="s">
        <v>268</v>
      </c>
      <c r="J157" s="214">
        <f>VLOOKUP(I157,PSO_TU_Allocators,2,FALSE)</f>
        <v>0.95849358162549603</v>
      </c>
      <c r="K157" s="131"/>
      <c r="L157" s="154">
        <f>+G157*J157</f>
        <v>2425706.6732051424</v>
      </c>
      <c r="M157" s="108"/>
      <c r="N157" s="209">
        <v>2530749</v>
      </c>
      <c r="O157" s="269"/>
      <c r="P157" s="209">
        <f t="shared" si="14"/>
        <v>105042.32679485762</v>
      </c>
    </row>
    <row r="158" spans="1:16">
      <c r="B158" s="134">
        <f t="shared" si="13"/>
        <v>91</v>
      </c>
      <c r="C158" s="133"/>
      <c r="D158" s="205" t="s">
        <v>410</v>
      </c>
      <c r="E158" s="131" t="s">
        <v>409</v>
      </c>
      <c r="F158" s="131"/>
      <c r="G158" s="154">
        <f>+'[3]OKT WS L Other Taxes'!M46</f>
        <v>0</v>
      </c>
      <c r="H158" s="143"/>
      <c r="I158" s="204" t="s">
        <v>266</v>
      </c>
      <c r="J158" s="214">
        <f>VLOOKUP(I158,PSO_TU_Allocators,2,FALSE)</f>
        <v>0</v>
      </c>
      <c r="K158" s="139"/>
      <c r="L158" s="210">
        <f>+J158*G158</f>
        <v>0</v>
      </c>
      <c r="M158" s="108"/>
      <c r="N158" s="209">
        <v>0</v>
      </c>
      <c r="O158" s="269"/>
      <c r="P158" s="209">
        <f t="shared" si="14"/>
        <v>0</v>
      </c>
    </row>
    <row r="159" spans="1:16" ht="15.75" thickBot="1">
      <c r="B159" s="134">
        <f t="shared" si="13"/>
        <v>92</v>
      </c>
      <c r="C159" s="133"/>
      <c r="D159" s="205" t="s">
        <v>408</v>
      </c>
      <c r="E159" s="131" t="s">
        <v>407</v>
      </c>
      <c r="F159" s="131"/>
      <c r="G159" s="163">
        <f>+'[3]OKT WS L Other Taxes'!K46</f>
        <v>19975</v>
      </c>
      <c r="H159" s="143"/>
      <c r="I159" s="204" t="s">
        <v>268</v>
      </c>
      <c r="J159" s="214">
        <f>VLOOKUP(I159,PSO_TU_Allocators,2,FALSE)</f>
        <v>0.95849358162549603</v>
      </c>
      <c r="K159" s="139"/>
      <c r="L159" s="212">
        <f>+J159*G159</f>
        <v>19145.909292969282</v>
      </c>
      <c r="M159" s="108"/>
      <c r="N159" s="211">
        <v>19975</v>
      </c>
      <c r="O159" s="269"/>
      <c r="P159" s="211">
        <f t="shared" si="14"/>
        <v>829.09070703071848</v>
      </c>
    </row>
    <row r="160" spans="1:16">
      <c r="B160" s="134">
        <f t="shared" si="13"/>
        <v>93</v>
      </c>
      <c r="C160" s="133"/>
      <c r="D160" s="205" t="s">
        <v>406</v>
      </c>
      <c r="E160" s="303" t="str">
        <f>"(sum lns "&amp;B155&amp;" to "&amp;B159&amp;")"</f>
        <v>(sum lns 88 to 92)</v>
      </c>
      <c r="F160" s="139"/>
      <c r="G160" s="154">
        <f>SUM(G155:G159)</f>
        <v>2550724</v>
      </c>
      <c r="H160" s="131"/>
      <c r="I160" s="204"/>
      <c r="J160" s="270"/>
      <c r="K160" s="139"/>
      <c r="L160" s="210">
        <f>SUM(L155:L159)</f>
        <v>2444852.5824981118</v>
      </c>
      <c r="M160" s="108"/>
      <c r="N160" s="209">
        <v>2550724</v>
      </c>
      <c r="O160" s="269"/>
      <c r="P160" s="209">
        <f t="shared" si="14"/>
        <v>105871.41750188824</v>
      </c>
    </row>
    <row r="161" spans="2:16">
      <c r="B161" s="134"/>
      <c r="C161" s="133"/>
      <c r="D161" s="205"/>
      <c r="E161" s="139"/>
      <c r="F161" s="139"/>
      <c r="G161" s="139"/>
      <c r="H161" s="131"/>
      <c r="I161" s="204"/>
      <c r="J161" s="270"/>
      <c r="K161" s="139"/>
      <c r="L161" s="139"/>
      <c r="M161" s="108"/>
      <c r="N161" s="174"/>
      <c r="O161" s="269"/>
      <c r="P161" s="174" t="str">
        <f t="shared" si="14"/>
        <v/>
      </c>
    </row>
    <row r="162" spans="2:16">
      <c r="B162" s="134">
        <f>+B160+1</f>
        <v>94</v>
      </c>
      <c r="C162" s="133"/>
      <c r="D162" s="205" t="s">
        <v>405</v>
      </c>
      <c r="E162" s="131" t="s">
        <v>404</v>
      </c>
      <c r="F162" s="286"/>
      <c r="G162" s="139"/>
      <c r="H162" s="108"/>
      <c r="I162" s="140"/>
      <c r="J162" s="192"/>
      <c r="K162" s="139"/>
      <c r="L162" s="281"/>
      <c r="M162" s="108"/>
      <c r="N162" s="280"/>
      <c r="O162" s="269"/>
      <c r="P162" s="280" t="str">
        <f t="shared" si="14"/>
        <v/>
      </c>
    </row>
    <row r="163" spans="2:16">
      <c r="B163" s="134">
        <f t="shared" ref="B163:B168" si="15">+B162+1</f>
        <v>95</v>
      </c>
      <c r="C163" s="133"/>
      <c r="D163" s="261" t="s">
        <v>403</v>
      </c>
      <c r="E163" s="293"/>
      <c r="F163" s="296"/>
      <c r="G163" s="302">
        <f>IF(F313&gt;0,1-(((1-F314)*(1-F313))/(1-F314*F313*F315)),0)</f>
        <v>0.38678999999999997</v>
      </c>
      <c r="H163" s="301"/>
      <c r="I163" s="295"/>
      <c r="J163" s="301"/>
      <c r="K163" s="293"/>
      <c r="L163" s="281"/>
      <c r="M163" s="108"/>
      <c r="N163" s="280"/>
      <c r="O163" s="269"/>
      <c r="P163" s="280" t="str">
        <f t="shared" si="14"/>
        <v/>
      </c>
    </row>
    <row r="164" spans="2:16">
      <c r="B164" s="134">
        <f t="shared" si="15"/>
        <v>96</v>
      </c>
      <c r="C164" s="133"/>
      <c r="D164" s="276" t="s">
        <v>402</v>
      </c>
      <c r="E164" s="293"/>
      <c r="F164" s="296"/>
      <c r="G164" s="302">
        <f>IF(L244&gt;0,($G163/(1-$G163))*(1-$L225/$L228),0)</f>
        <v>0.4584979719627888</v>
      </c>
      <c r="H164" s="301"/>
      <c r="I164" s="295"/>
      <c r="J164" s="281"/>
      <c r="K164" s="293"/>
      <c r="L164" s="281"/>
      <c r="M164" s="108"/>
      <c r="N164" s="280"/>
      <c r="O164" s="269"/>
      <c r="P164" s="280" t="str">
        <f t="shared" si="14"/>
        <v/>
      </c>
    </row>
    <row r="165" spans="2:16">
      <c r="B165" s="134">
        <f t="shared" si="15"/>
        <v>97</v>
      </c>
      <c r="C165" s="133"/>
      <c r="D165" s="155" t="str">
        <f>"       where WCLTD=(ln "&amp;B225&amp;") and WACC = (ln "&amp;B228&amp;")"</f>
        <v xml:space="preserve">       where WCLTD=(ln 133) and WACC = (ln 136)</v>
      </c>
      <c r="E165" s="300"/>
      <c r="F165" s="299"/>
      <c r="G165" s="139"/>
      <c r="H165" s="108"/>
      <c r="I165" s="295"/>
      <c r="J165" s="294"/>
      <c r="K165" s="293"/>
      <c r="L165" s="277"/>
      <c r="M165" s="108"/>
      <c r="N165" s="298"/>
      <c r="O165" s="269"/>
      <c r="P165" s="298" t="str">
        <f t="shared" si="14"/>
        <v/>
      </c>
    </row>
    <row r="166" spans="2:16">
      <c r="B166" s="134">
        <f t="shared" si="15"/>
        <v>98</v>
      </c>
      <c r="C166" s="133"/>
      <c r="D166" s="205" t="s">
        <v>401</v>
      </c>
      <c r="E166" s="297"/>
      <c r="F166" s="296"/>
      <c r="G166" s="139"/>
      <c r="H166" s="108"/>
      <c r="I166" s="295"/>
      <c r="J166" s="294"/>
      <c r="K166" s="293"/>
      <c r="L166" s="281"/>
      <c r="M166" s="108"/>
      <c r="N166" s="280"/>
      <c r="O166" s="269"/>
      <c r="P166" s="280" t="str">
        <f t="shared" si="14"/>
        <v/>
      </c>
    </row>
    <row r="167" spans="2:16">
      <c r="B167" s="134">
        <f t="shared" si="15"/>
        <v>99</v>
      </c>
      <c r="C167" s="133"/>
      <c r="D167" s="268" t="str">
        <f>"      GRCF=1 / (1 - T)  = (from ln "&amp;B163&amp;")"</f>
        <v xml:space="preserve">      GRCF=1 / (1 - T)  = (from ln 95)</v>
      </c>
      <c r="E167" s="292"/>
      <c r="F167" s="286"/>
      <c r="G167" s="291">
        <f>IF(G163&gt;0,1/(1-G163),0)</f>
        <v>1.6307627077183997</v>
      </c>
      <c r="H167" s="108"/>
      <c r="I167" s="278"/>
      <c r="J167" s="290"/>
      <c r="K167" s="265"/>
      <c r="L167" s="289"/>
      <c r="M167" s="108"/>
      <c r="N167" s="288"/>
      <c r="O167" s="269"/>
      <c r="P167" s="288" t="str">
        <f t="shared" si="14"/>
        <v/>
      </c>
    </row>
    <row r="168" spans="2:16">
      <c r="B168" s="134">
        <f t="shared" si="15"/>
        <v>100</v>
      </c>
      <c r="C168" s="133"/>
      <c r="D168" s="205" t="s">
        <v>400</v>
      </c>
      <c r="E168" s="287" t="s">
        <v>399</v>
      </c>
      <c r="F168" s="286"/>
      <c r="G168" s="154">
        <f>+'[3]OKT Historic TCOS'!G180</f>
        <v>0</v>
      </c>
      <c r="H168" s="108"/>
      <c r="I168" s="278"/>
      <c r="J168" s="285"/>
      <c r="K168" s="265"/>
      <c r="L168" s="284"/>
      <c r="M168" s="108"/>
      <c r="N168" s="263"/>
      <c r="O168" s="269"/>
      <c r="P168" s="263" t="str">
        <f t="shared" si="14"/>
        <v/>
      </c>
    </row>
    <row r="169" spans="2:16">
      <c r="B169" s="134"/>
      <c r="C169" s="133"/>
      <c r="D169" s="205"/>
      <c r="E169" s="283"/>
      <c r="F169" s="282"/>
      <c r="G169" s="210"/>
      <c r="H169" s="108"/>
      <c r="I169" s="278"/>
      <c r="J169" s="277"/>
      <c r="K169" s="265"/>
      <c r="L169" s="281"/>
      <c r="M169" s="108"/>
      <c r="N169" s="280"/>
      <c r="O169" s="269"/>
      <c r="P169" s="280" t="str">
        <f t="shared" si="14"/>
        <v/>
      </c>
    </row>
    <row r="170" spans="2:16">
      <c r="B170" s="134">
        <f>+B168+1</f>
        <v>101</v>
      </c>
      <c r="C170" s="133"/>
      <c r="D170" s="261" t="s">
        <v>398</v>
      </c>
      <c r="E170" s="274" t="str">
        <f>"(ln "&amp;B164&amp;" * ln "&amp;B174&amp;")"</f>
        <v>(ln 96 * ln 104)</v>
      </c>
      <c r="F170" s="279"/>
      <c r="G170" s="210">
        <f>+G164*G174</f>
        <v>8175738.5822713189</v>
      </c>
      <c r="H170" s="108"/>
      <c r="I170" s="278"/>
      <c r="J170" s="277"/>
      <c r="K170" s="210"/>
      <c r="L170" s="210">
        <f>+L174*G164</f>
        <v>7652718.866189898</v>
      </c>
      <c r="M170" s="108"/>
      <c r="N170" s="209">
        <v>7987774.0074994965</v>
      </c>
      <c r="O170" s="269"/>
      <c r="P170" s="209">
        <f t="shared" si="14"/>
        <v>335055.14130959846</v>
      </c>
    </row>
    <row r="171" spans="2:16" ht="15.75" thickBot="1">
      <c r="B171" s="134">
        <f>+B170+1</f>
        <v>102</v>
      </c>
      <c r="C171" s="133"/>
      <c r="D171" s="276" t="s">
        <v>397</v>
      </c>
      <c r="E171" s="274" t="str">
        <f>"(ln "&amp;B167&amp;" * ln "&amp;B168&amp;")"</f>
        <v>(ln 99 * ln 100)</v>
      </c>
      <c r="F171" s="274"/>
      <c r="G171" s="212">
        <f>G167*G168</f>
        <v>0</v>
      </c>
      <c r="H171" s="108"/>
      <c r="I171" s="275" t="s">
        <v>265</v>
      </c>
      <c r="J171" s="214">
        <f>VLOOKUP(I171,PSO_TU_Allocators,2,FALSE)</f>
        <v>0.95755638425818479</v>
      </c>
      <c r="K171" s="210"/>
      <c r="L171" s="212">
        <f>+G171*J171</f>
        <v>0</v>
      </c>
      <c r="M171" s="108"/>
      <c r="N171" s="211">
        <v>0</v>
      </c>
      <c r="O171" s="269"/>
      <c r="P171" s="211">
        <f t="shared" si="14"/>
        <v>0</v>
      </c>
    </row>
    <row r="172" spans="2:16">
      <c r="B172" s="134">
        <f>+B171+1</f>
        <v>103</v>
      </c>
      <c r="C172" s="133"/>
      <c r="D172" s="261" t="s">
        <v>396</v>
      </c>
      <c r="E172" s="139" t="str">
        <f>"(sum lns "&amp;B170&amp;" to "&amp;B171&amp;")"</f>
        <v>(sum lns 101 to 102)</v>
      </c>
      <c r="F172" s="274"/>
      <c r="G172" s="272">
        <f>SUM(G170:G171)</f>
        <v>8175738.5822713189</v>
      </c>
      <c r="H172" s="108"/>
      <c r="I172" s="255" t="s">
        <v>288</v>
      </c>
      <c r="J172" s="273"/>
      <c r="K172" s="210"/>
      <c r="L172" s="272">
        <f>SUM(L170:L171)</f>
        <v>7652718.866189898</v>
      </c>
      <c r="M172" s="108"/>
      <c r="N172" s="271">
        <v>7987774.0074994965</v>
      </c>
      <c r="O172" s="269"/>
      <c r="P172" s="271">
        <f t="shared" si="14"/>
        <v>335055.14130959846</v>
      </c>
    </row>
    <row r="173" spans="2:16">
      <c r="B173" s="134"/>
      <c r="C173" s="133"/>
      <c r="D173" s="205"/>
      <c r="E173" s="139"/>
      <c r="F173" s="139"/>
      <c r="G173" s="139"/>
      <c r="H173" s="131"/>
      <c r="I173" s="204"/>
      <c r="J173" s="270"/>
      <c r="K173" s="139"/>
      <c r="L173" s="139"/>
      <c r="M173" s="108"/>
      <c r="N173" s="174"/>
      <c r="O173" s="269"/>
      <c r="P173" s="174" t="str">
        <f t="shared" si="14"/>
        <v/>
      </c>
    </row>
    <row r="174" spans="2:16">
      <c r="B174" s="134">
        <f>+B172+1</f>
        <v>104</v>
      </c>
      <c r="C174" s="133"/>
      <c r="D174" s="268" t="s">
        <v>395</v>
      </c>
      <c r="E174" s="268" t="str">
        <f>"(ln "&amp;B111&amp;" * ln "&amp;B228&amp;")"</f>
        <v>(ln 63 * ln 136)</v>
      </c>
      <c r="F174" s="267"/>
      <c r="G174" s="266">
        <f>+$L228*G111</f>
        <v>17831569.782679111</v>
      </c>
      <c r="H174" s="131"/>
      <c r="I174" s="255"/>
      <c r="J174" s="265"/>
      <c r="K174" s="210"/>
      <c r="L174" s="264">
        <f>+L228*L111</f>
        <v>16690845.617984509</v>
      </c>
      <c r="M174" s="108"/>
      <c r="N174" s="262">
        <v>17421612.51729108</v>
      </c>
      <c r="O174" s="263"/>
      <c r="P174" s="262">
        <f t="shared" si="14"/>
        <v>730766.89930657111</v>
      </c>
    </row>
    <row r="175" spans="2:16">
      <c r="B175" s="134"/>
      <c r="C175" s="133"/>
      <c r="D175" s="261"/>
      <c r="E175" s="192"/>
      <c r="F175" s="192"/>
      <c r="G175" s="210"/>
      <c r="H175" s="210"/>
      <c r="I175" s="255"/>
      <c r="J175" s="255"/>
      <c r="K175" s="210"/>
      <c r="L175" s="210"/>
      <c r="M175" s="108"/>
      <c r="N175" s="209"/>
      <c r="O175" s="151"/>
      <c r="P175" s="209" t="str">
        <f t="shared" si="14"/>
        <v/>
      </c>
    </row>
    <row r="176" spans="2:16">
      <c r="B176" s="134">
        <f>+B174+1</f>
        <v>105</v>
      </c>
      <c r="C176" s="133"/>
      <c r="D176" s="260" t="s">
        <v>394</v>
      </c>
      <c r="E176" s="192"/>
      <c r="F176" s="259"/>
      <c r="G176" s="154">
        <f>'[3]OKT WS E IPP Credits'!C11</f>
        <v>0</v>
      </c>
      <c r="H176" s="154"/>
      <c r="I176" s="258" t="s">
        <v>269</v>
      </c>
      <c r="J176" s="214">
        <f>VLOOKUP(I176,PSO_TU_Allocators,2,FALSE)</f>
        <v>1</v>
      </c>
      <c r="K176" s="257"/>
      <c r="L176" s="210">
        <f>+J176*G176</f>
        <v>0</v>
      </c>
      <c r="M176" s="108"/>
      <c r="N176" s="209">
        <v>0</v>
      </c>
      <c r="O176" s="151"/>
      <c r="P176" s="209">
        <f t="shared" si="14"/>
        <v>0</v>
      </c>
    </row>
    <row r="177" spans="2:16" ht="15.75" thickBot="1">
      <c r="B177" s="134"/>
      <c r="C177" s="133"/>
      <c r="D177" s="205"/>
      <c r="E177" s="192"/>
      <c r="F177" s="192"/>
      <c r="G177" s="212"/>
      <c r="H177" s="256"/>
      <c r="I177" s="255"/>
      <c r="J177" s="255"/>
      <c r="K177" s="210"/>
      <c r="L177" s="212"/>
      <c r="M177" s="108"/>
      <c r="N177" s="211"/>
      <c r="O177" s="151"/>
      <c r="P177" s="211" t="str">
        <f t="shared" si="14"/>
        <v/>
      </c>
    </row>
    <row r="178" spans="2:16" ht="15.75" thickBot="1">
      <c r="B178" s="134">
        <f>+B176+1</f>
        <v>106</v>
      </c>
      <c r="C178" s="133"/>
      <c r="D178" s="135" t="s">
        <v>393</v>
      </c>
      <c r="E178" s="251"/>
      <c r="F178" s="251"/>
      <c r="G178" s="254">
        <f>G144+G151+G160+G172+G174+G176</f>
        <v>36911213.901593052</v>
      </c>
      <c r="H178" s="210"/>
      <c r="I178" s="255"/>
      <c r="J178" s="248"/>
      <c r="K178" s="210"/>
      <c r="L178" s="254">
        <f>L144+L151+L160+L172+L174+L176</f>
        <v>34796978.075174853</v>
      </c>
      <c r="M178" s="108"/>
      <c r="N178" s="253">
        <v>36313292.061433196</v>
      </c>
      <c r="O178" s="151"/>
      <c r="P178" s="253">
        <f t="shared" si="14"/>
        <v>1516313.9862583429</v>
      </c>
    </row>
    <row r="179" spans="2:16" ht="15.75" thickTop="1">
      <c r="B179" s="134">
        <f>+B178+1</f>
        <v>107</v>
      </c>
      <c r="C179" s="133"/>
      <c r="D179" s="119" t="str">
        <f>"    (sum lns "&amp;B144&amp;", "&amp;B151&amp;", "&amp;B160&amp;", "&amp;B172&amp;", "&amp;B174&amp;", "&amp;B176&amp;")"</f>
        <v xml:space="preserve">    (sum lns 80, 85, 93, 103, 104, 105)</v>
      </c>
      <c r="E179" s="251"/>
      <c r="F179" s="251"/>
      <c r="G179" s="252"/>
      <c r="H179" s="210"/>
      <c r="I179" s="210"/>
      <c r="J179" s="248"/>
      <c r="K179" s="210"/>
      <c r="L179" s="252"/>
      <c r="M179" s="108"/>
      <c r="N179" s="236"/>
      <c r="O179" s="151"/>
      <c r="P179" s="236" t="str">
        <f t="shared" si="14"/>
        <v/>
      </c>
    </row>
    <row r="180" spans="2:16">
      <c r="B180" s="134"/>
      <c r="C180" s="133"/>
      <c r="D180" s="135"/>
      <c r="E180" s="251"/>
      <c r="F180" s="251"/>
      <c r="G180" s="252"/>
      <c r="H180" s="210"/>
      <c r="I180" s="210"/>
      <c r="J180" s="248"/>
      <c r="K180" s="210"/>
      <c r="L180" s="252"/>
      <c r="M180" s="108"/>
      <c r="N180" s="236"/>
      <c r="O180" s="151"/>
      <c r="P180" s="236" t="str">
        <f t="shared" si="14"/>
        <v/>
      </c>
    </row>
    <row r="181" spans="2:16">
      <c r="B181" s="134">
        <f>+B179+1</f>
        <v>108</v>
      </c>
      <c r="C181" s="133"/>
      <c r="D181" s="135" t="s">
        <v>392</v>
      </c>
      <c r="F181" s="251"/>
      <c r="G181" s="201">
        <f>+'[3]OKT WS K State Taxes'!Q41</f>
        <v>0</v>
      </c>
      <c r="H181" s="210"/>
      <c r="I181" s="210" t="s">
        <v>269</v>
      </c>
      <c r="J181" s="248"/>
      <c r="K181" s="210"/>
      <c r="L181" s="201">
        <f>+'[3]OKT WS K State Taxes'!S41</f>
        <v>0</v>
      </c>
      <c r="M181" s="108"/>
      <c r="N181" s="200">
        <v>0</v>
      </c>
      <c r="O181" s="151"/>
      <c r="P181" s="200">
        <f t="shared" si="14"/>
        <v>0</v>
      </c>
    </row>
    <row r="182" spans="2:16" ht="15.75">
      <c r="B182" s="134"/>
      <c r="C182" s="108"/>
      <c r="D182" s="108"/>
      <c r="E182" s="108"/>
      <c r="F182" s="108"/>
      <c r="G182" s="108"/>
      <c r="H182" s="108"/>
      <c r="I182" s="249"/>
      <c r="J182" s="250"/>
      <c r="K182" s="249"/>
      <c r="L182" s="120"/>
      <c r="M182" s="108"/>
      <c r="N182" s="242"/>
      <c r="O182" s="151"/>
      <c r="P182" s="242" t="str">
        <f t="shared" si="14"/>
        <v/>
      </c>
    </row>
    <row r="183" spans="2:16" ht="15.75" thickBot="1">
      <c r="B183" s="134">
        <f>+B181+1</f>
        <v>109</v>
      </c>
      <c r="C183" s="133"/>
      <c r="D183" s="192" t="s">
        <v>391</v>
      </c>
      <c r="E183" s="192"/>
      <c r="F183" s="192"/>
      <c r="G183" s="247">
        <f>+G178+G181</f>
        <v>36911213.901593052</v>
      </c>
      <c r="H183" s="192"/>
      <c r="I183" s="192"/>
      <c r="J183" s="248"/>
      <c r="K183" s="192"/>
      <c r="L183" s="247">
        <f>+L178+L181</f>
        <v>34796978.075174853</v>
      </c>
      <c r="M183" s="108"/>
      <c r="N183" s="246">
        <v>36313292.061433196</v>
      </c>
      <c r="O183" s="151"/>
      <c r="P183" s="246">
        <f t="shared" si="14"/>
        <v>1516313.9862583429</v>
      </c>
    </row>
    <row r="184" spans="2:16" ht="15.75" thickTop="1">
      <c r="B184" s="134"/>
      <c r="C184" s="133"/>
      <c r="D184" s="135"/>
      <c r="E184" s="192"/>
      <c r="F184" s="194"/>
      <c r="G184" s="192"/>
      <c r="H184" s="192"/>
      <c r="I184" s="192"/>
      <c r="J184" s="192"/>
      <c r="K184" s="192"/>
      <c r="L184" s="192"/>
      <c r="M184" s="108"/>
      <c r="N184" s="242"/>
      <c r="O184" s="151"/>
      <c r="P184" s="242" t="str">
        <f t="shared" si="14"/>
        <v/>
      </c>
    </row>
    <row r="185" spans="2:16">
      <c r="B185" s="134"/>
      <c r="C185" s="133"/>
      <c r="D185" s="192"/>
      <c r="E185" s="192"/>
      <c r="F185" s="194"/>
      <c r="G185" s="192"/>
      <c r="H185" s="192"/>
      <c r="I185" s="192"/>
      <c r="J185" s="192"/>
      <c r="K185" s="192"/>
      <c r="L185" s="192"/>
      <c r="M185" s="108"/>
      <c r="N185" s="242"/>
      <c r="O185" s="151"/>
      <c r="P185" s="242" t="str">
        <f t="shared" si="14"/>
        <v/>
      </c>
    </row>
    <row r="186" spans="2:16">
      <c r="B186" s="134"/>
      <c r="C186" s="133"/>
      <c r="D186" s="135"/>
      <c r="E186" s="192"/>
      <c r="F186" s="140" t="str">
        <f>F114</f>
        <v xml:space="preserve">AEP West SPP Member Companies </v>
      </c>
      <c r="G186" s="192"/>
      <c r="H186" s="192"/>
      <c r="I186" s="192"/>
      <c r="J186" s="192"/>
      <c r="K186" s="192"/>
      <c r="L186" s="192"/>
      <c r="M186" s="108"/>
      <c r="N186" s="242"/>
      <c r="O186" s="151"/>
      <c r="P186" s="242" t="str">
        <f t="shared" si="14"/>
        <v/>
      </c>
    </row>
    <row r="187" spans="2:16">
      <c r="B187" s="134"/>
      <c r="C187" s="133"/>
      <c r="D187" s="135"/>
      <c r="E187" s="192"/>
      <c r="F187" s="140" t="str">
        <f>F115</f>
        <v>Transmission Cost of Service Formula Rate</v>
      </c>
      <c r="G187" s="192"/>
      <c r="H187" s="192"/>
      <c r="I187" s="192"/>
      <c r="J187" s="192"/>
      <c r="K187" s="192"/>
      <c r="L187" s="192"/>
      <c r="M187" s="108"/>
      <c r="N187" s="242"/>
      <c r="O187" s="151"/>
      <c r="P187" s="242" t="str">
        <f t="shared" si="14"/>
        <v/>
      </c>
    </row>
    <row r="188" spans="2:16">
      <c r="B188" s="192"/>
      <c r="C188" s="133"/>
      <c r="D188" s="192"/>
      <c r="E188" s="192"/>
      <c r="F188" s="140" t="str">
        <f>F116</f>
        <v>Utilizing Actual Cost Data for 2014 with Average Ratebase Balances</v>
      </c>
      <c r="G188" s="192"/>
      <c r="H188" s="192"/>
      <c r="I188" s="192"/>
      <c r="J188" s="192"/>
      <c r="K188" s="192"/>
      <c r="M188" s="108"/>
      <c r="N188" s="151"/>
      <c r="O188" s="151"/>
      <c r="P188" s="151" t="str">
        <f t="shared" ref="P188:P213" si="16">IF(N188="","",N188-L188)</f>
        <v/>
      </c>
    </row>
    <row r="189" spans="2:16">
      <c r="B189" s="134"/>
      <c r="C189" s="133"/>
      <c r="E189" s="140"/>
      <c r="F189" s="140"/>
      <c r="G189" s="140"/>
      <c r="H189" s="140"/>
      <c r="I189" s="140"/>
      <c r="J189" s="140"/>
      <c r="K189" s="140"/>
      <c r="M189" s="108"/>
      <c r="N189" s="151"/>
      <c r="O189" s="151"/>
      <c r="P189" s="151" t="str">
        <f t="shared" si="16"/>
        <v/>
      </c>
    </row>
    <row r="190" spans="2:16">
      <c r="B190" s="134"/>
      <c r="C190" s="133"/>
      <c r="D190" s="192"/>
      <c r="E190" s="135"/>
      <c r="F190" s="140" t="str">
        <f>F118</f>
        <v>AEP OKLAHOMA TRANSMISSION COMPANY, INC</v>
      </c>
      <c r="G190" s="135"/>
      <c r="H190" s="135"/>
      <c r="I190" s="135"/>
      <c r="J190" s="135"/>
      <c r="K190" s="135"/>
      <c r="L190" s="135"/>
      <c r="M190" s="108"/>
      <c r="N190" s="245"/>
      <c r="O190" s="151"/>
      <c r="P190" s="245" t="str">
        <f t="shared" si="16"/>
        <v/>
      </c>
    </row>
    <row r="191" spans="2:16">
      <c r="B191" s="134"/>
      <c r="C191" s="133"/>
      <c r="D191" s="192"/>
      <c r="E191" s="135"/>
      <c r="F191" s="140"/>
      <c r="G191" s="210"/>
      <c r="H191" s="135"/>
      <c r="I191" s="135"/>
      <c r="J191" s="135"/>
      <c r="K191" s="135"/>
      <c r="L191" s="210"/>
      <c r="M191" s="108"/>
      <c r="N191" s="209"/>
      <c r="O191" s="151"/>
      <c r="P191" s="209" t="str">
        <f t="shared" si="16"/>
        <v/>
      </c>
    </row>
    <row r="192" spans="2:16" ht="15.75">
      <c r="B192" s="134"/>
      <c r="C192" s="133"/>
      <c r="D192" s="192"/>
      <c r="F192" s="141" t="s">
        <v>390</v>
      </c>
      <c r="G192" s="192"/>
      <c r="H192" s="138"/>
      <c r="I192" s="138"/>
      <c r="J192" s="138"/>
      <c r="K192" s="138"/>
      <c r="L192" s="138"/>
      <c r="M192" s="108"/>
      <c r="N192" s="221"/>
      <c r="O192" s="151"/>
      <c r="P192" s="221" t="str">
        <f t="shared" si="16"/>
        <v/>
      </c>
    </row>
    <row r="193" spans="2:16" ht="15.75">
      <c r="B193" s="134"/>
      <c r="C193" s="133"/>
      <c r="D193" s="244"/>
      <c r="E193" s="138"/>
      <c r="F193" s="138"/>
      <c r="G193" s="138"/>
      <c r="H193" s="138"/>
      <c r="I193" s="138"/>
      <c r="J193" s="138"/>
      <c r="K193" s="138"/>
      <c r="L193" s="138"/>
      <c r="M193" s="108"/>
      <c r="N193" s="221"/>
      <c r="O193" s="151"/>
      <c r="P193" s="221" t="str">
        <f t="shared" si="16"/>
        <v/>
      </c>
    </row>
    <row r="194" spans="2:16" ht="15.75">
      <c r="B194" s="134" t="s">
        <v>389</v>
      </c>
      <c r="C194" s="133"/>
      <c r="D194" s="244"/>
      <c r="E194" s="138"/>
      <c r="F194" s="138"/>
      <c r="G194" s="138"/>
      <c r="H194" s="138"/>
      <c r="I194" s="138"/>
      <c r="J194" s="138"/>
      <c r="K194" s="138"/>
      <c r="L194" s="138"/>
      <c r="M194" s="108"/>
      <c r="N194" s="221"/>
      <c r="O194" s="151"/>
      <c r="P194" s="221" t="str">
        <f t="shared" si="16"/>
        <v/>
      </c>
    </row>
    <row r="195" spans="2:16" ht="15.75" thickBot="1">
      <c r="B195" s="243" t="s">
        <v>388</v>
      </c>
      <c r="C195" s="132"/>
      <c r="D195" s="119" t="s">
        <v>387</v>
      </c>
      <c r="E195" s="125"/>
      <c r="F195" s="125"/>
      <c r="G195" s="125"/>
      <c r="H195" s="125"/>
      <c r="I195" s="125"/>
      <c r="J195" s="125"/>
      <c r="K195" s="120"/>
      <c r="L195" s="192"/>
      <c r="M195" s="108"/>
      <c r="N195" s="242"/>
      <c r="O195" s="151"/>
      <c r="P195" s="242" t="str">
        <f t="shared" si="16"/>
        <v/>
      </c>
    </row>
    <row r="196" spans="2:16">
      <c r="B196" s="134">
        <f>+B183+1</f>
        <v>110</v>
      </c>
      <c r="C196" s="133"/>
      <c r="D196" s="125" t="s">
        <v>386</v>
      </c>
      <c r="E196" s="241" t="str">
        <f>"(ln "&amp;B56&amp;")"</f>
        <v>(ln 18)</v>
      </c>
      <c r="F196" s="235"/>
      <c r="H196" s="233"/>
      <c r="I196" s="233"/>
      <c r="J196" s="233"/>
      <c r="K196" s="233"/>
      <c r="L196" s="237">
        <f>+G56</f>
        <v>289295210</v>
      </c>
      <c r="M196" s="108"/>
      <c r="N196" s="236">
        <v>289295210</v>
      </c>
      <c r="O196" s="151"/>
      <c r="P196" s="236">
        <f t="shared" si="16"/>
        <v>0</v>
      </c>
    </row>
    <row r="197" spans="2:16">
      <c r="B197" s="134">
        <f>+B196+1</f>
        <v>111</v>
      </c>
      <c r="C197" s="133"/>
      <c r="D197" s="125" t="s">
        <v>385</v>
      </c>
      <c r="E197" s="232"/>
      <c r="F197" s="232"/>
      <c r="G197" s="240"/>
      <c r="H197" s="232"/>
      <c r="I197" s="232"/>
      <c r="J197" s="232"/>
      <c r="K197" s="232"/>
      <c r="L197" s="239">
        <v>12007608.02</v>
      </c>
      <c r="M197" s="108"/>
      <c r="N197" s="181">
        <v>0</v>
      </c>
      <c r="O197" s="151"/>
      <c r="P197" s="181">
        <f t="shared" si="16"/>
        <v>-12007608.02</v>
      </c>
    </row>
    <row r="198" spans="2:16" ht="15.75" thickBot="1">
      <c r="B198" s="134">
        <f>+B197+1</f>
        <v>112</v>
      </c>
      <c r="C198" s="133"/>
      <c r="D198" s="235" t="str">
        <f>"  Less transmission plant included in OATT Ancillary Services (Worksheet A, ln "&amp;'[3]OKT WS A RB Support '!A62&amp;", Col. "&amp;'[3]OKT WS A RB Support '!E6&amp;")  (Note R)"</f>
        <v xml:space="preserve">  Less transmission plant included in OATT Ancillary Services (Worksheet A, ln 23, Col. (C))  (Note R)</v>
      </c>
      <c r="E198" s="235"/>
      <c r="F198" s="235"/>
      <c r="G198" s="234"/>
      <c r="H198" s="233"/>
      <c r="I198" s="233"/>
      <c r="J198" s="234"/>
      <c r="K198" s="233"/>
      <c r="L198" s="199">
        <f>+'[3]OKT WS A RB Support '!G62</f>
        <v>0</v>
      </c>
      <c r="M198" s="108"/>
      <c r="N198" s="198">
        <v>0</v>
      </c>
      <c r="O198" s="151"/>
      <c r="P198" s="198">
        <f t="shared" si="16"/>
        <v>0</v>
      </c>
    </row>
    <row r="199" spans="2:16">
      <c r="B199" s="134">
        <f>+B198+1</f>
        <v>113</v>
      </c>
      <c r="C199" s="133"/>
      <c r="D199" s="125" t="s">
        <v>384</v>
      </c>
      <c r="E199" s="238" t="str">
        <f>"(ln "&amp;B196&amp;" - ln "&amp;B197&amp;" - ln "&amp;B198&amp;")"</f>
        <v>(ln 110 - ln 111 - ln 112)</v>
      </c>
      <c r="F199" s="235"/>
      <c r="H199" s="233"/>
      <c r="I199" s="233"/>
      <c r="J199" s="234"/>
      <c r="K199" s="233"/>
      <c r="L199" s="237">
        <f>L196-L197-L198</f>
        <v>277287601.98000002</v>
      </c>
      <c r="M199" s="108"/>
      <c r="N199" s="236">
        <v>289295210</v>
      </c>
      <c r="O199" s="151"/>
      <c r="P199" s="236">
        <f t="shared" si="16"/>
        <v>12007608.019999981</v>
      </c>
    </row>
    <row r="200" spans="2:16">
      <c r="B200" s="134"/>
      <c r="C200" s="133"/>
      <c r="D200" s="120"/>
      <c r="E200" s="235"/>
      <c r="F200" s="235"/>
      <c r="G200" s="234"/>
      <c r="H200" s="233"/>
      <c r="I200" s="233"/>
      <c r="J200" s="234"/>
      <c r="K200" s="233"/>
      <c r="L200" s="232"/>
      <c r="M200" s="108"/>
      <c r="N200" s="231"/>
      <c r="O200" s="151"/>
      <c r="P200" s="231" t="str">
        <f t="shared" si="16"/>
        <v/>
      </c>
    </row>
    <row r="201" spans="2:16" ht="15.75">
      <c r="B201" s="134">
        <f>+B199+1</f>
        <v>114</v>
      </c>
      <c r="C201" s="133"/>
      <c r="D201" s="125" t="s">
        <v>383</v>
      </c>
      <c r="E201" s="230" t="str">
        <f>"(ln "&amp;B199&amp;" / ln "&amp;B196&amp;")"</f>
        <v>(ln 113 / ln 110)</v>
      </c>
      <c r="F201" s="229"/>
      <c r="H201" s="228"/>
      <c r="I201" s="227"/>
      <c r="J201" s="227"/>
      <c r="K201" s="226" t="s">
        <v>382</v>
      </c>
      <c r="L201" s="225">
        <f>IF(L196&gt;0,L199/L196,0)</f>
        <v>0.95849358162549603</v>
      </c>
      <c r="M201" s="108"/>
      <c r="N201" s="224">
        <v>1</v>
      </c>
      <c r="O201" s="151"/>
      <c r="P201" s="224">
        <f t="shared" si="16"/>
        <v>4.1506418374503973E-2</v>
      </c>
    </row>
    <row r="202" spans="2:16" ht="15.75">
      <c r="B202" s="134"/>
      <c r="C202" s="133"/>
      <c r="D202" s="223"/>
      <c r="E202" s="125"/>
      <c r="F202" s="125"/>
      <c r="G202" s="222"/>
      <c r="H202" s="125"/>
      <c r="I202" s="114"/>
      <c r="J202" s="125"/>
      <c r="K202" s="125"/>
      <c r="L202" s="138"/>
      <c r="M202" s="108"/>
      <c r="N202" s="221"/>
      <c r="O202" s="151"/>
      <c r="P202" s="221" t="str">
        <f t="shared" si="16"/>
        <v/>
      </c>
    </row>
    <row r="203" spans="2:16" ht="30">
      <c r="B203" s="115">
        <f>B201+1</f>
        <v>115</v>
      </c>
      <c r="C203" s="114"/>
      <c r="D203" s="119" t="s">
        <v>381</v>
      </c>
      <c r="E203" s="175" t="s">
        <v>343</v>
      </c>
      <c r="F203" s="175" t="s">
        <v>380</v>
      </c>
      <c r="G203" s="220" t="s">
        <v>379</v>
      </c>
      <c r="H203" s="219" t="s">
        <v>372</v>
      </c>
      <c r="I203" s="204"/>
      <c r="J203" s="139"/>
      <c r="K203" s="139"/>
      <c r="L203" s="139"/>
      <c r="M203" s="108"/>
      <c r="N203" s="174"/>
      <c r="O203" s="151"/>
      <c r="P203" s="174" t="str">
        <f t="shared" si="16"/>
        <v/>
      </c>
    </row>
    <row r="204" spans="2:16">
      <c r="B204" s="115">
        <f t="shared" ref="B204:B209" si="17">+B203+1</f>
        <v>116</v>
      </c>
      <c r="C204" s="114"/>
      <c r="D204" s="217" t="s">
        <v>374</v>
      </c>
      <c r="E204" s="131"/>
      <c r="F204" s="131"/>
      <c r="G204" s="154"/>
      <c r="H204" s="154"/>
      <c r="I204" s="175"/>
      <c r="J204" s="214"/>
      <c r="K204" s="131"/>
      <c r="L204" s="154"/>
      <c r="M204" s="108"/>
      <c r="N204" s="209"/>
      <c r="O204" s="151"/>
      <c r="P204" s="209" t="str">
        <f t="shared" si="16"/>
        <v/>
      </c>
    </row>
    <row r="205" spans="2:16">
      <c r="B205" s="115">
        <f t="shared" si="17"/>
        <v>117</v>
      </c>
      <c r="C205" s="114"/>
      <c r="D205" s="155" t="s">
        <v>378</v>
      </c>
      <c r="E205" s="131" t="s">
        <v>377</v>
      </c>
      <c r="F205" s="131">
        <f>+'[3]OKT Historic TCOS'!F217</f>
        <v>0</v>
      </c>
      <c r="G205" s="131">
        <f>+'[3]OKT Historic TCOS'!G217+48</f>
        <v>243629</v>
      </c>
      <c r="H205" s="218">
        <f>+F205+G205</f>
        <v>243629</v>
      </c>
      <c r="I205" s="114" t="s">
        <v>264</v>
      </c>
      <c r="J205" s="214">
        <f>VLOOKUP(I205,PSO_TU_Allocators,2,FALSE)</f>
        <v>0.95849358162549603</v>
      </c>
      <c r="K205" s="213"/>
      <c r="L205" s="210">
        <f>(F205+G205)*J205</f>
        <v>233516.83279783797</v>
      </c>
      <c r="M205" s="108"/>
      <c r="N205" s="209">
        <v>243629</v>
      </c>
      <c r="O205" s="151"/>
      <c r="P205" s="209">
        <f t="shared" si="16"/>
        <v>10112.167202162032</v>
      </c>
    </row>
    <row r="206" spans="2:16">
      <c r="B206" s="115">
        <f t="shared" si="17"/>
        <v>118</v>
      </c>
      <c r="C206" s="114"/>
      <c r="D206" s="155" t="s">
        <v>376</v>
      </c>
      <c r="E206" s="131" t="s">
        <v>375</v>
      </c>
      <c r="F206" s="131">
        <f>+'[3]OKT Historic TCOS'!F218</f>
        <v>0</v>
      </c>
      <c r="G206" s="131">
        <f>+'[3]OKT Historic TCOS'!G218</f>
        <v>0</v>
      </c>
      <c r="H206" s="218">
        <f>+F206+G206</f>
        <v>0</v>
      </c>
      <c r="I206" s="204" t="s">
        <v>266</v>
      </c>
      <c r="J206" s="214">
        <f>VLOOKUP(I206,PSO_TU_Allocators,2,FALSE)</f>
        <v>0</v>
      </c>
      <c r="K206" s="213"/>
      <c r="L206" s="210">
        <f>(F206+G206)*J206</f>
        <v>0</v>
      </c>
      <c r="M206" s="108"/>
      <c r="N206" s="209">
        <v>0</v>
      </c>
      <c r="O206" s="151"/>
      <c r="P206" s="209">
        <f t="shared" si="16"/>
        <v>0</v>
      </c>
    </row>
    <row r="207" spans="2:16">
      <c r="B207" s="115">
        <f t="shared" si="17"/>
        <v>119</v>
      </c>
      <c r="C207" s="114"/>
      <c r="D207" s="217" t="s">
        <v>374</v>
      </c>
      <c r="E207" s="131"/>
      <c r="F207" s="131"/>
      <c r="G207" s="154"/>
      <c r="H207" s="154"/>
      <c r="I207" s="175"/>
      <c r="J207" s="214"/>
      <c r="K207" s="131"/>
      <c r="L207" s="154"/>
      <c r="M207" s="108"/>
      <c r="N207" s="209"/>
      <c r="O207" s="151"/>
      <c r="P207" s="209" t="str">
        <f t="shared" si="16"/>
        <v/>
      </c>
    </row>
    <row r="208" spans="2:16" ht="15.75" thickBot="1">
      <c r="B208" s="115">
        <f t="shared" si="17"/>
        <v>120</v>
      </c>
      <c r="C208" s="114"/>
      <c r="D208" s="155" t="s">
        <v>373</v>
      </c>
      <c r="E208" s="139">
        <v>0</v>
      </c>
      <c r="F208" s="216">
        <f>+'[3]OKT Historic TCOS'!F220</f>
        <v>0</v>
      </c>
      <c r="G208" s="216">
        <v>0</v>
      </c>
      <c r="H208" s="215">
        <f>+F208+G208</f>
        <v>0</v>
      </c>
      <c r="I208" s="204" t="s">
        <v>266</v>
      </c>
      <c r="J208" s="214">
        <f>VLOOKUP(I208,PSO_TU_Allocators,2,FALSE)</f>
        <v>0</v>
      </c>
      <c r="K208" s="213"/>
      <c r="L208" s="212">
        <f>(F208+G208)*J208</f>
        <v>0</v>
      </c>
      <c r="M208" s="108"/>
      <c r="N208" s="211">
        <v>0</v>
      </c>
      <c r="O208" s="151"/>
      <c r="P208" s="211">
        <f t="shared" si="16"/>
        <v>0</v>
      </c>
    </row>
    <row r="209" spans="2:16">
      <c r="B209" s="115">
        <f t="shared" si="17"/>
        <v>121</v>
      </c>
      <c r="C209" s="114"/>
      <c r="D209" s="155" t="s">
        <v>372</v>
      </c>
      <c r="E209" s="155" t="str">
        <f>"(sum lns "&amp;B204&amp;" to "&amp;B208&amp;")"</f>
        <v>(sum lns 116 to 120)</v>
      </c>
      <c r="F209" s="131">
        <f>SUM(F204:F208)</f>
        <v>0</v>
      </c>
      <c r="G209" s="131">
        <f>SUM(G204:G208)</f>
        <v>243629</v>
      </c>
      <c r="H209" s="131">
        <f>SUM(H204:H208)</f>
        <v>243629</v>
      </c>
      <c r="I209" s="204"/>
      <c r="J209" s="139"/>
      <c r="K209" s="139"/>
      <c r="L209" s="210">
        <f>SUM(L204:L208)</f>
        <v>233516.83279783797</v>
      </c>
      <c r="M209" s="108"/>
      <c r="N209" s="209">
        <v>243629</v>
      </c>
      <c r="O209" s="151"/>
      <c r="P209" s="209">
        <f t="shared" si="16"/>
        <v>10112.167202162032</v>
      </c>
    </row>
    <row r="210" spans="2:16">
      <c r="B210" s="115"/>
      <c r="C210" s="114"/>
      <c r="D210" s="155" t="s">
        <v>288</v>
      </c>
      <c r="E210" s="131" t="s">
        <v>288</v>
      </c>
      <c r="F210" s="131"/>
      <c r="G210" s="120"/>
      <c r="H210" s="131"/>
      <c r="I210" s="128"/>
      <c r="M210" s="108"/>
      <c r="N210" s="151"/>
      <c r="O210" s="151"/>
      <c r="P210" s="151" t="str">
        <f t="shared" si="16"/>
        <v/>
      </c>
    </row>
    <row r="211" spans="2:16" ht="15.75">
      <c r="B211" s="134">
        <f>B209+1</f>
        <v>122</v>
      </c>
      <c r="C211" s="133"/>
      <c r="D211" s="205" t="s">
        <v>371</v>
      </c>
      <c r="E211" s="131"/>
      <c r="F211" s="131"/>
      <c r="G211" s="131"/>
      <c r="H211" s="131"/>
      <c r="I211" s="128"/>
      <c r="K211" s="208" t="s">
        <v>370</v>
      </c>
      <c r="L211" s="207">
        <f>IF(H209&lt;&gt;0,L209/(F209+G209),0)</f>
        <v>0.95849358162549603</v>
      </c>
      <c r="M211" s="108"/>
      <c r="N211" s="206">
        <v>1</v>
      </c>
      <c r="O211" s="151"/>
      <c r="P211" s="206">
        <f t="shared" si="16"/>
        <v>4.1506418374503973E-2</v>
      </c>
    </row>
    <row r="212" spans="2:16">
      <c r="B212" s="134"/>
      <c r="C212" s="133"/>
      <c r="D212" s="205"/>
      <c r="E212" s="131"/>
      <c r="F212" s="131"/>
      <c r="G212" s="131"/>
      <c r="H212" s="131"/>
      <c r="I212" s="204"/>
      <c r="J212" s="139"/>
      <c r="K212" s="139"/>
      <c r="L212" s="139"/>
      <c r="M212" s="108"/>
      <c r="N212" s="174"/>
      <c r="O212" s="151"/>
      <c r="P212" s="174" t="str">
        <f t="shared" si="16"/>
        <v/>
      </c>
    </row>
    <row r="213" spans="2:16" ht="15.75">
      <c r="B213" s="134"/>
      <c r="C213" s="133"/>
      <c r="D213" s="195" t="s">
        <v>369</v>
      </c>
      <c r="E213" s="131"/>
      <c r="F213" s="131"/>
      <c r="G213" s="131"/>
      <c r="H213" s="131"/>
      <c r="I213" s="204"/>
      <c r="J213" s="139"/>
      <c r="K213" s="139"/>
      <c r="L213" s="139"/>
      <c r="M213" s="108"/>
      <c r="N213" s="174"/>
      <c r="O213" s="151"/>
      <c r="P213" s="174" t="str">
        <f t="shared" si="16"/>
        <v/>
      </c>
    </row>
    <row r="214" spans="2:16" ht="15.75" thickBot="1">
      <c r="B214" s="115">
        <f>+B211+1</f>
        <v>123</v>
      </c>
      <c r="C214" s="114"/>
      <c r="D214" s="155" t="s">
        <v>363</v>
      </c>
      <c r="E214" s="131"/>
      <c r="F214" s="131"/>
      <c r="G214" s="131"/>
      <c r="H214" s="131"/>
      <c r="I214" s="131"/>
      <c r="J214" s="131"/>
      <c r="K214" s="131"/>
      <c r="L214" s="188" t="s">
        <v>362</v>
      </c>
      <c r="M214" s="108"/>
      <c r="N214" s="187" t="s">
        <v>362</v>
      </c>
      <c r="O214" s="151"/>
      <c r="P214" s="187" t="s">
        <v>362</v>
      </c>
    </row>
    <row r="215" spans="2:16">
      <c r="B215" s="115">
        <f t="shared" ref="B215:B222" si="18">+B214+1</f>
        <v>124</v>
      </c>
      <c r="C215" s="114"/>
      <c r="D215" s="131" t="s">
        <v>361</v>
      </c>
      <c r="E215" s="104" t="s">
        <v>368</v>
      </c>
      <c r="F215" s="131"/>
      <c r="G215" s="131"/>
      <c r="H215" s="131"/>
      <c r="I215" s="131"/>
      <c r="J215" s="131"/>
      <c r="K215" s="131"/>
      <c r="L215" s="203">
        <f>+'[3]OKT WS N Avg Cap Structure'!E32</f>
        <v>6576071</v>
      </c>
      <c r="M215" s="108"/>
      <c r="N215" s="202">
        <v>6576071</v>
      </c>
      <c r="O215" s="151"/>
      <c r="P215" s="202">
        <f>IF(N215="","",N215-L215)</f>
        <v>0</v>
      </c>
    </row>
    <row r="216" spans="2:16">
      <c r="B216" s="115">
        <f t="shared" si="18"/>
        <v>125</v>
      </c>
      <c r="C216" s="114"/>
      <c r="D216" s="131" t="s">
        <v>359</v>
      </c>
      <c r="E216" s="104" t="s">
        <v>367</v>
      </c>
      <c r="F216" s="131"/>
      <c r="G216" s="131"/>
      <c r="H216" s="131"/>
      <c r="I216" s="131"/>
      <c r="J216" s="131"/>
      <c r="K216" s="131"/>
      <c r="L216" s="203">
        <f>+'[3]OKT WS N Avg Cap Structure'!E74</f>
        <v>0</v>
      </c>
      <c r="M216" s="108"/>
      <c r="N216" s="202">
        <v>0</v>
      </c>
      <c r="O216" s="151"/>
      <c r="P216" s="202">
        <f>IF(N216="","",N216-L216)</f>
        <v>0</v>
      </c>
    </row>
    <row r="217" spans="2:16" ht="15.75" thickBot="1">
      <c r="B217" s="115">
        <f t="shared" si="18"/>
        <v>126</v>
      </c>
      <c r="C217" s="114"/>
      <c r="D217" s="185" t="s">
        <v>357</v>
      </c>
      <c r="E217" s="131"/>
      <c r="F217" s="131"/>
      <c r="G217" s="131"/>
      <c r="H217" s="108"/>
      <c r="I217" s="108"/>
      <c r="J217" s="108"/>
      <c r="K217" s="131"/>
      <c r="L217" s="184" t="s">
        <v>356</v>
      </c>
      <c r="M217" s="108"/>
      <c r="N217" s="183" t="s">
        <v>356</v>
      </c>
      <c r="O217" s="151"/>
      <c r="P217" s="183" t="s">
        <v>356</v>
      </c>
    </row>
    <row r="218" spans="2:16">
      <c r="B218" s="115">
        <f t="shared" si="18"/>
        <v>127</v>
      </c>
      <c r="C218" s="114"/>
      <c r="D218" s="131" t="s">
        <v>355</v>
      </c>
      <c r="E218" s="104" t="str">
        <f>"(Worksheet N, ln. "&amp;'[3]OKT WS N Avg Cap Structure'!A11&amp;", col. "&amp;'[3]OKT WS N Avg Cap Structure'!E6&amp;")"</f>
        <v>(Worksheet N, ln. 1, col. (E))</v>
      </c>
      <c r="F218" s="131"/>
      <c r="G218" s="125"/>
      <c r="H218" s="108"/>
      <c r="I218" s="108"/>
      <c r="J218" s="108"/>
      <c r="K218" s="131"/>
      <c r="L218" s="201">
        <f>+'[3]OKT WS N Avg Cap Structure'!E11</f>
        <v>167193837.5</v>
      </c>
      <c r="M218" s="108"/>
      <c r="N218" s="200">
        <v>167193837.5</v>
      </c>
      <c r="O218" s="151"/>
      <c r="P218" s="200">
        <f t="shared" ref="P218:P223" si="19">IF(N218="","",N218-L218)</f>
        <v>0</v>
      </c>
    </row>
    <row r="219" spans="2:16">
      <c r="B219" s="115">
        <f t="shared" si="18"/>
        <v>128</v>
      </c>
      <c r="C219" s="114"/>
      <c r="D219" s="131" t="str">
        <f>"Less Preferred Stock (ln "&amp;B226&amp;")"</f>
        <v>Less Preferred Stock (ln 134)</v>
      </c>
      <c r="E219" s="104" t="str">
        <f>"(Worksheet N, ln. "&amp;'[3]OKT WS N Avg Cap Structure'!A12&amp;", col. "&amp;'[3]OKT WS N Avg Cap Structure'!E6&amp;")"</f>
        <v>(Worksheet N, ln. 2, col. (E))</v>
      </c>
      <c r="F219" s="131"/>
      <c r="G219" s="131"/>
      <c r="H219" s="108"/>
      <c r="I219" s="108"/>
      <c r="J219" s="108"/>
      <c r="K219" s="131"/>
      <c r="L219" s="201">
        <f>+'[3]OKT WS N Avg Cap Structure'!E12</f>
        <v>0</v>
      </c>
      <c r="M219" s="108"/>
      <c r="N219" s="200">
        <v>0</v>
      </c>
      <c r="O219" s="151"/>
      <c r="P219" s="200">
        <f t="shared" si="19"/>
        <v>0</v>
      </c>
    </row>
    <row r="220" spans="2:16">
      <c r="B220" s="115">
        <f t="shared" si="18"/>
        <v>129</v>
      </c>
      <c r="C220" s="114"/>
      <c r="D220" s="131" t="s">
        <v>352</v>
      </c>
      <c r="E220" s="104" t="str">
        <f>"(Worksheet N, ln. "&amp;'[3]OKT WS N Avg Cap Structure'!A13&amp;", col. "&amp;'[3]OKT WS N Avg Cap Structure'!E6&amp;")"</f>
        <v>(Worksheet N, ln. 3, col. (E))</v>
      </c>
      <c r="F220" s="131"/>
      <c r="G220" s="131"/>
      <c r="H220" s="108"/>
      <c r="I220" s="108"/>
      <c r="J220" s="108"/>
      <c r="K220" s="131"/>
      <c r="L220" s="201">
        <f>+'[3]OKT WS N Avg Cap Structure'!E13</f>
        <v>0</v>
      </c>
      <c r="M220" s="108"/>
      <c r="N220" s="200">
        <v>0</v>
      </c>
      <c r="O220" s="151"/>
      <c r="P220" s="200">
        <f t="shared" si="19"/>
        <v>0</v>
      </c>
    </row>
    <row r="221" spans="2:16" ht="15.75" thickBot="1">
      <c r="B221" s="115">
        <f t="shared" si="18"/>
        <v>130</v>
      </c>
      <c r="C221" s="114"/>
      <c r="D221" s="131" t="s">
        <v>350</v>
      </c>
      <c r="E221" s="104" t="str">
        <f>"(Worksheet N, ln. "&amp;'[3]OKT WS N Avg Cap Structure'!A14&amp;", col. "&amp;'[3]OKT WS N Avg Cap Structure'!E6&amp;")"</f>
        <v>(Worksheet N, ln. 4, col. (E))</v>
      </c>
      <c r="F221" s="131"/>
      <c r="G221" s="131"/>
      <c r="H221" s="108"/>
      <c r="I221" s="108"/>
      <c r="J221" s="108"/>
      <c r="K221" s="131"/>
      <c r="L221" s="199">
        <f>+'[3]OKT WS N Avg Cap Structure'!E14</f>
        <v>0</v>
      </c>
      <c r="M221" s="108"/>
      <c r="N221" s="198">
        <v>0</v>
      </c>
      <c r="O221" s="151"/>
      <c r="P221" s="198">
        <f t="shared" si="19"/>
        <v>0</v>
      </c>
    </row>
    <row r="222" spans="2:16">
      <c r="B222" s="115">
        <f t="shared" si="18"/>
        <v>131</v>
      </c>
      <c r="C222" s="114"/>
      <c r="D222" s="104" t="s">
        <v>348</v>
      </c>
      <c r="E222" s="131" t="str">
        <f>"(ln "&amp;B218&amp;" - ln "&amp;B219&amp;" - ln "&amp;B220&amp;" - ln "&amp;B221&amp;")"</f>
        <v>(ln 127 - ln 128 - ln 129 - ln 130)</v>
      </c>
      <c r="F222" s="178"/>
      <c r="G222" s="105"/>
      <c r="H222" s="125"/>
      <c r="I222" s="125"/>
      <c r="J222" s="125"/>
      <c r="K222" s="125"/>
      <c r="L222" s="177">
        <f>+L218-L219-L220-L221</f>
        <v>167193837.5</v>
      </c>
      <c r="M222" s="108"/>
      <c r="N222" s="176">
        <v>167193837.5</v>
      </c>
      <c r="O222" s="151"/>
      <c r="P222" s="176">
        <f t="shared" si="19"/>
        <v>0</v>
      </c>
    </row>
    <row r="223" spans="2:16" ht="15.75">
      <c r="B223" s="115"/>
      <c r="C223" s="114"/>
      <c r="D223" s="155"/>
      <c r="E223" s="131"/>
      <c r="F223" s="131"/>
      <c r="G223" s="475" t="s">
        <v>347</v>
      </c>
      <c r="H223" s="475"/>
      <c r="I223" s="131"/>
      <c r="J223" s="175" t="s">
        <v>346</v>
      </c>
      <c r="K223" s="131"/>
      <c r="L223" s="131"/>
      <c r="M223" s="108"/>
      <c r="N223" s="174"/>
      <c r="O223" s="151"/>
      <c r="P223" s="174" t="str">
        <f t="shared" si="19"/>
        <v/>
      </c>
    </row>
    <row r="224" spans="2:16" ht="15.75" thickBot="1">
      <c r="B224" s="115">
        <f>+B222+1</f>
        <v>132</v>
      </c>
      <c r="C224" s="114"/>
      <c r="D224" s="155"/>
      <c r="E224" s="172" t="str">
        <f>""&amp;'[3]OKT Historic TCOS'!O2&amp;" Avg Balances"</f>
        <v>2015 Avg Balances</v>
      </c>
      <c r="G224" s="172" t="s">
        <v>345</v>
      </c>
      <c r="H224" s="173" t="s">
        <v>344</v>
      </c>
      <c r="I224" s="131"/>
      <c r="J224" s="172" t="s">
        <v>343</v>
      </c>
      <c r="K224" s="131"/>
      <c r="L224" s="172" t="s">
        <v>342</v>
      </c>
      <c r="M224" s="108"/>
      <c r="N224" s="171" t="s">
        <v>342</v>
      </c>
      <c r="O224" s="151"/>
      <c r="P224" s="171" t="s">
        <v>342</v>
      </c>
    </row>
    <row r="225" spans="1:16">
      <c r="B225" s="115">
        <f>+B224+1</f>
        <v>133</v>
      </c>
      <c r="C225" s="114"/>
      <c r="D225" s="131" t="str">
        <f>"Avg Long Term Debt (Worksheet N, ln. "&amp;'[3]OKT WS N Avg Cap Structure'!A23&amp;", col. "&amp;'[3]OKT WS N Avg Cap Structure'!E6&amp;")"</f>
        <v>Avg Long Term Debt (Worksheet N, ln. 10, col. (E))</v>
      </c>
      <c r="E225" s="154">
        <f>+'[3]OKT WS N Avg Cap Structure'!E23</f>
        <v>156275000</v>
      </c>
      <c r="G225" s="162">
        <f>IF($E$228&gt;0,E225/$E$228,0)</f>
        <v>0.48312227294538074</v>
      </c>
      <c r="H225" s="161">
        <f>IF(G227&gt;E230,1-H226-H227,0)</f>
        <v>0.5</v>
      </c>
      <c r="I225" s="160"/>
      <c r="J225" s="166">
        <f>IF(E225&gt;0,L215/E225,0)</f>
        <v>4.2080121580547115E-2</v>
      </c>
      <c r="K225" s="120"/>
      <c r="L225" s="170">
        <f>IF(G$227&gt;E$230,J225*H225,J225*G225)</f>
        <v>2.1040060790273558E-2</v>
      </c>
      <c r="M225" s="108"/>
      <c r="N225" s="169">
        <v>2.1040060790273558E-2</v>
      </c>
      <c r="O225" s="151"/>
      <c r="P225" s="169">
        <f t="shared" ref="P225:P232" si="20">IF(N225="","",N225-L225)</f>
        <v>0</v>
      </c>
    </row>
    <row r="226" spans="1:16">
      <c r="B226" s="115">
        <f>+B225+1</f>
        <v>134</v>
      </c>
      <c r="C226" s="114"/>
      <c r="D226" s="131" t="str">
        <f>"Avg Preferred Stock (Worksheet N, ln. "&amp;'[3]OKT WS N Avg Cap Structure'!A73&amp;", col. "&amp;'[3]OKT WS M Cost of Debt for Proj.'!F6&amp;")"</f>
        <v>Avg Preferred Stock (Worksheet N, ln. 46, col. (E))</v>
      </c>
      <c r="E226" s="154">
        <f>+'[3]OKT WS N Avg Cap Structure'!E70</f>
        <v>0</v>
      </c>
      <c r="G226" s="162">
        <f>IF($E$228&gt;0,E226/$E$228,0)</f>
        <v>0</v>
      </c>
      <c r="H226" s="161">
        <f>IF(G227&gt;E230,G226,0)</f>
        <v>0</v>
      </c>
      <c r="I226" s="160"/>
      <c r="J226" s="166">
        <f>IF(E226&gt;0,L216/E226,0)</f>
        <v>0</v>
      </c>
      <c r="K226" s="120"/>
      <c r="L226" s="165">
        <f>IF(G$227&gt;E$230,J226*H226,J226*G226)</f>
        <v>0</v>
      </c>
      <c r="M226" s="108"/>
      <c r="N226" s="164">
        <v>0</v>
      </c>
      <c r="O226" s="151"/>
      <c r="P226" s="164">
        <f t="shared" si="20"/>
        <v>0</v>
      </c>
    </row>
    <row r="227" spans="1:16" ht="15.75" thickBot="1">
      <c r="B227" s="115">
        <f>+B226+1</f>
        <v>135</v>
      </c>
      <c r="C227" s="114"/>
      <c r="D227" s="155" t="str">
        <f>"Avg Common Stock  (ln "&amp;B222&amp;") (Note U)"</f>
        <v>Avg Common Stock  (ln 131) (Note U)</v>
      </c>
      <c r="E227" s="163">
        <f>+L222</f>
        <v>167193837.5</v>
      </c>
      <c r="G227" s="162">
        <f>IF($E$228&gt;0,E227/$E$228,0)</f>
        <v>0.51687772705461932</v>
      </c>
      <c r="H227" s="161">
        <f>IF(G227&gt;E230,E230,0)</f>
        <v>0.5</v>
      </c>
      <c r="I227" s="160"/>
      <c r="J227" s="166">
        <f>'[3]OKT Historic TCOS'!J240</f>
        <v>0.112</v>
      </c>
      <c r="K227" s="120"/>
      <c r="L227" s="158">
        <f>IF(G$227&gt;E$230,J227*H227,J227*G227)</f>
        <v>5.6000000000000001E-2</v>
      </c>
      <c r="M227" s="108"/>
      <c r="N227" s="156">
        <v>5.6000000000000001E-2</v>
      </c>
      <c r="O227" s="151"/>
      <c r="P227" s="156">
        <f t="shared" si="20"/>
        <v>0</v>
      </c>
    </row>
    <row r="228" spans="1:16" ht="15.75">
      <c r="B228" s="115">
        <f>+B227+1</f>
        <v>136</v>
      </c>
      <c r="C228" s="114"/>
      <c r="D228" s="155" t="str">
        <f>"  Total  (sum lns "&amp;B225&amp;" to "&amp;B227&amp;")"</f>
        <v xml:space="preserve">  Total  (sum lns 133 to 135)</v>
      </c>
      <c r="E228" s="154">
        <f>E227+E226+E225</f>
        <v>323468837.5</v>
      </c>
      <c r="G228" s="131" t="s">
        <v>288</v>
      </c>
      <c r="I228" s="131"/>
      <c r="J228" s="143"/>
      <c r="K228" s="153" t="s">
        <v>339</v>
      </c>
      <c r="L228" s="152">
        <f>SUM(L225:L227)</f>
        <v>7.7040060790273562E-2</v>
      </c>
      <c r="M228" s="108"/>
      <c r="N228" s="150">
        <v>7.7040060790273562E-2</v>
      </c>
      <c r="O228" s="151"/>
      <c r="P228" s="150">
        <f t="shared" si="20"/>
        <v>0</v>
      </c>
    </row>
    <row r="229" spans="1:16">
      <c r="B229" s="149"/>
      <c r="C229" s="108"/>
      <c r="D229" s="108"/>
      <c r="E229" s="143"/>
      <c r="F229" s="143"/>
      <c r="G229" s="143"/>
      <c r="H229" s="143"/>
      <c r="I229" s="143"/>
      <c r="J229" s="129"/>
      <c r="K229" s="129"/>
      <c r="L229" s="129"/>
      <c r="M229" s="108"/>
      <c r="N229" s="197"/>
      <c r="O229" s="151"/>
      <c r="P229" s="197" t="str">
        <f t="shared" si="20"/>
        <v/>
      </c>
    </row>
    <row r="230" spans="1:16">
      <c r="B230" s="134">
        <f>+B228+1</f>
        <v>137</v>
      </c>
      <c r="C230" s="108"/>
      <c r="D230" s="130" t="s">
        <v>366</v>
      </c>
      <c r="E230" s="147">
        <f>+'[3]OKT Historic TCOS'!E243</f>
        <v>0.5</v>
      </c>
      <c r="F230" s="143"/>
      <c r="G230" s="146"/>
      <c r="H230" s="143"/>
      <c r="I230" s="143"/>
      <c r="J230" s="131"/>
      <c r="K230" s="125"/>
      <c r="L230" s="131"/>
      <c r="M230" s="108"/>
      <c r="N230" s="174"/>
      <c r="O230" s="151"/>
      <c r="P230" s="174" t="str">
        <f t="shared" si="20"/>
        <v/>
      </c>
    </row>
    <row r="231" spans="1:16" s="105" customFormat="1" ht="15.75">
      <c r="B231" s="115"/>
      <c r="C231" s="114"/>
      <c r="D231" s="155"/>
      <c r="E231" s="194"/>
      <c r="F231" s="131"/>
      <c r="G231" s="120"/>
      <c r="H231" s="131"/>
      <c r="I231" s="131"/>
      <c r="J231" s="131"/>
      <c r="K231" s="196"/>
      <c r="L231" s="190"/>
      <c r="M231" s="143"/>
      <c r="N231" s="189"/>
      <c r="O231" s="151"/>
      <c r="P231" s="189" t="str">
        <f t="shared" si="20"/>
        <v/>
      </c>
    </row>
    <row r="232" spans="1:16" ht="15.75">
      <c r="A232" s="105"/>
      <c r="B232" s="134"/>
      <c r="C232" s="133"/>
      <c r="D232" s="195" t="s">
        <v>365</v>
      </c>
      <c r="E232" s="194"/>
      <c r="F232" s="193" t="s">
        <v>364</v>
      </c>
      <c r="G232" s="192"/>
      <c r="H232" s="139"/>
      <c r="I232" s="139"/>
      <c r="J232" s="139"/>
      <c r="K232" s="191"/>
      <c r="L232" s="190"/>
      <c r="M232" s="143"/>
      <c r="N232" s="189"/>
      <c r="O232" s="151"/>
      <c r="P232" s="189" t="str">
        <f t="shared" si="20"/>
        <v/>
      </c>
    </row>
    <row r="233" spans="1:16" ht="15.75" thickBot="1">
      <c r="A233" s="105"/>
      <c r="B233" s="115">
        <f>+B230+1</f>
        <v>138</v>
      </c>
      <c r="C233" s="114"/>
      <c r="D233" s="155" t="s">
        <v>363</v>
      </c>
      <c r="E233" s="131"/>
      <c r="F233" s="131"/>
      <c r="G233" s="131"/>
      <c r="H233" s="131"/>
      <c r="I233" s="131"/>
      <c r="J233" s="131"/>
      <c r="K233" s="131"/>
      <c r="L233" s="188" t="s">
        <v>362</v>
      </c>
      <c r="M233" s="143"/>
      <c r="N233" s="187" t="s">
        <v>362</v>
      </c>
      <c r="O233" s="151"/>
      <c r="P233" s="187" t="s">
        <v>362</v>
      </c>
    </row>
    <row r="234" spans="1:16">
      <c r="A234" s="105"/>
      <c r="B234" s="115">
        <f t="shared" ref="B234:B241" si="21">+B233+1</f>
        <v>139</v>
      </c>
      <c r="C234" s="114"/>
      <c r="D234" s="131" t="s">
        <v>361</v>
      </c>
      <c r="E234" s="104" t="s">
        <v>360</v>
      </c>
      <c r="F234" s="131"/>
      <c r="G234" s="131"/>
      <c r="H234" s="131"/>
      <c r="I234" s="131"/>
      <c r="J234" s="131"/>
      <c r="K234" s="131"/>
      <c r="L234" s="167">
        <v>54135555</v>
      </c>
      <c r="M234" s="143"/>
      <c r="N234" s="186">
        <v>54135555</v>
      </c>
      <c r="O234" s="151"/>
      <c r="P234" s="186">
        <f>IF(N234="","",N234-L234)</f>
        <v>0</v>
      </c>
    </row>
    <row r="235" spans="1:16">
      <c r="A235" s="105"/>
      <c r="B235" s="115">
        <f t="shared" si="21"/>
        <v>140</v>
      </c>
      <c r="C235" s="114"/>
      <c r="D235" s="131" t="s">
        <v>359</v>
      </c>
      <c r="E235" s="104" t="s">
        <v>358</v>
      </c>
      <c r="F235" s="131"/>
      <c r="G235" s="131"/>
      <c r="H235" s="131"/>
      <c r="I235" s="131"/>
      <c r="J235" s="131"/>
      <c r="K235" s="131"/>
      <c r="L235" s="167">
        <v>0</v>
      </c>
      <c r="M235" s="143"/>
      <c r="N235" s="186">
        <v>0</v>
      </c>
      <c r="O235" s="151"/>
      <c r="P235" s="186">
        <f>IF(N235="","",N235-L235)</f>
        <v>0</v>
      </c>
    </row>
    <row r="236" spans="1:16" ht="15.75" thickBot="1">
      <c r="A236" s="105"/>
      <c r="B236" s="115">
        <f t="shared" si="21"/>
        <v>141</v>
      </c>
      <c r="C236" s="114"/>
      <c r="D236" s="185" t="s">
        <v>357</v>
      </c>
      <c r="E236" s="131"/>
      <c r="F236" s="131"/>
      <c r="G236" s="131"/>
      <c r="H236" s="108"/>
      <c r="I236" s="108"/>
      <c r="J236" s="108"/>
      <c r="K236" s="131"/>
      <c r="L236" s="184" t="s">
        <v>356</v>
      </c>
      <c r="M236" s="143"/>
      <c r="N236" s="183" t="s">
        <v>356</v>
      </c>
      <c r="O236" s="151"/>
      <c r="P236" s="183" t="s">
        <v>356</v>
      </c>
    </row>
    <row r="237" spans="1:16">
      <c r="A237" s="105"/>
      <c r="B237" s="115">
        <f t="shared" si="21"/>
        <v>142</v>
      </c>
      <c r="C237" s="114"/>
      <c r="D237" s="131" t="s">
        <v>355</v>
      </c>
      <c r="E237" s="104" t="s">
        <v>354</v>
      </c>
      <c r="F237" s="131"/>
      <c r="G237" s="125"/>
      <c r="H237" s="108"/>
      <c r="I237" s="108"/>
      <c r="J237" s="108"/>
      <c r="K237" s="131"/>
      <c r="L237" s="182">
        <v>985157431</v>
      </c>
      <c r="M237" s="143"/>
      <c r="N237" s="181">
        <v>985157431</v>
      </c>
      <c r="O237" s="151"/>
      <c r="P237" s="181">
        <f t="shared" ref="P237:P242" si="22">IF(N237="","",N237-L237)</f>
        <v>0</v>
      </c>
    </row>
    <row r="238" spans="1:16">
      <c r="A238" s="105"/>
      <c r="B238" s="115">
        <f t="shared" si="21"/>
        <v>143</v>
      </c>
      <c r="C238" s="114"/>
      <c r="D238" s="131" t="str">
        <f>"Less Preferred Stock (ln "&amp;B245&amp;")"</f>
        <v>Less Preferred Stock (ln 149)</v>
      </c>
      <c r="E238" s="104" t="s">
        <v>353</v>
      </c>
      <c r="F238" s="131"/>
      <c r="G238" s="131"/>
      <c r="H238" s="108"/>
      <c r="I238" s="108"/>
      <c r="J238" s="108"/>
      <c r="K238" s="131"/>
      <c r="L238" s="182">
        <v>0</v>
      </c>
      <c r="M238" s="143"/>
      <c r="N238" s="181">
        <v>0</v>
      </c>
      <c r="O238" s="151"/>
      <c r="P238" s="181">
        <f t="shared" si="22"/>
        <v>0</v>
      </c>
    </row>
    <row r="239" spans="1:16">
      <c r="A239" s="105"/>
      <c r="B239" s="115">
        <f t="shared" si="21"/>
        <v>144</v>
      </c>
      <c r="C239" s="114"/>
      <c r="D239" s="131" t="s">
        <v>352</v>
      </c>
      <c r="E239" s="104" t="s">
        <v>351</v>
      </c>
      <c r="F239" s="131"/>
      <c r="G239" s="131"/>
      <c r="H239" s="108"/>
      <c r="I239" s="108"/>
      <c r="J239" s="108"/>
      <c r="K239" s="131"/>
      <c r="L239" s="182">
        <v>0</v>
      </c>
      <c r="M239" s="143"/>
      <c r="N239" s="181">
        <v>0</v>
      </c>
      <c r="O239" s="151"/>
      <c r="P239" s="181">
        <f t="shared" si="22"/>
        <v>0</v>
      </c>
    </row>
    <row r="240" spans="1:16" ht="15.75" thickBot="1">
      <c r="A240" s="105"/>
      <c r="B240" s="115">
        <f t="shared" si="21"/>
        <v>145</v>
      </c>
      <c r="C240" s="114"/>
      <c r="D240" s="131" t="s">
        <v>350</v>
      </c>
      <c r="E240" s="104" t="s">
        <v>349</v>
      </c>
      <c r="F240" s="131"/>
      <c r="G240" s="131"/>
      <c r="H240" s="108"/>
      <c r="I240" s="108"/>
      <c r="J240" s="108"/>
      <c r="K240" s="131"/>
      <c r="L240" s="180">
        <v>5350008</v>
      </c>
      <c r="M240" s="143"/>
      <c r="N240" s="179">
        <v>5350008</v>
      </c>
      <c r="O240" s="151"/>
      <c r="P240" s="179">
        <f t="shared" si="22"/>
        <v>0</v>
      </c>
    </row>
    <row r="241" spans="1:21">
      <c r="A241" s="105"/>
      <c r="B241" s="115">
        <f t="shared" si="21"/>
        <v>146</v>
      </c>
      <c r="C241" s="114"/>
      <c r="D241" s="104" t="s">
        <v>348</v>
      </c>
      <c r="E241" s="131" t="str">
        <f>"(ln "&amp;B237&amp;" - ln "&amp;B238&amp;" - ln "&amp;B239&amp;" - ln "&amp;B240&amp;")"</f>
        <v>(ln 142 - ln 143 - ln 144 - ln 145)</v>
      </c>
      <c r="F241" s="178"/>
      <c r="G241" s="105"/>
      <c r="H241" s="125"/>
      <c r="I241" s="125"/>
      <c r="J241" s="125"/>
      <c r="K241" s="125"/>
      <c r="L241" s="177">
        <f>+L237-L238-L239-L240</f>
        <v>979807423</v>
      </c>
      <c r="M241" s="143"/>
      <c r="N241" s="176">
        <v>979807423</v>
      </c>
      <c r="O241" s="151"/>
      <c r="P241" s="176">
        <f t="shared" si="22"/>
        <v>0</v>
      </c>
    </row>
    <row r="242" spans="1:21" ht="15.75">
      <c r="A242" s="105"/>
      <c r="B242" s="115"/>
      <c r="C242" s="114"/>
      <c r="D242" s="155"/>
      <c r="E242" s="131"/>
      <c r="F242" s="131"/>
      <c r="G242" s="475" t="s">
        <v>347</v>
      </c>
      <c r="H242" s="475"/>
      <c r="I242" s="131"/>
      <c r="J242" s="175" t="s">
        <v>346</v>
      </c>
      <c r="K242" s="131"/>
      <c r="L242" s="131"/>
      <c r="M242" s="143"/>
      <c r="N242" s="174"/>
      <c r="O242" s="151"/>
      <c r="P242" s="174" t="str">
        <f t="shared" si="22"/>
        <v/>
      </c>
    </row>
    <row r="243" spans="1:21" ht="15.75" thickBot="1">
      <c r="A243" s="105"/>
      <c r="B243" s="115">
        <f>+B241+1</f>
        <v>147</v>
      </c>
      <c r="C243" s="114"/>
      <c r="D243" s="155"/>
      <c r="E243" s="172" t="str">
        <f>""&amp;'[3]OKT Historic TCOS'!O1&amp;" Avg Balances"</f>
        <v>2014 Avg Balances</v>
      </c>
      <c r="G243" s="172" t="s">
        <v>345</v>
      </c>
      <c r="H243" s="173" t="s">
        <v>344</v>
      </c>
      <c r="I243" s="131"/>
      <c r="J243" s="172" t="s">
        <v>343</v>
      </c>
      <c r="K243" s="131"/>
      <c r="L243" s="172" t="s">
        <v>342</v>
      </c>
      <c r="M243" s="143"/>
      <c r="N243" s="171" t="s">
        <v>342</v>
      </c>
      <c r="O243" s="157"/>
      <c r="P243" s="171" t="s">
        <v>342</v>
      </c>
      <c r="Q243" s="168"/>
      <c r="R243" s="168"/>
      <c r="S243" s="168"/>
      <c r="T243" s="168"/>
      <c r="U243" s="168"/>
    </row>
    <row r="244" spans="1:21">
      <c r="A244" s="105"/>
      <c r="B244" s="115">
        <f>+B243+1</f>
        <v>148</v>
      </c>
      <c r="C244" s="114"/>
      <c r="D244" s="131" t="s">
        <v>341</v>
      </c>
      <c r="E244" s="167">
        <v>1023547014.5</v>
      </c>
      <c r="G244" s="162">
        <f>IF($E$247&gt;0,E244/$E$247,0)</f>
        <v>0.51091658836830267</v>
      </c>
      <c r="H244" s="161">
        <f>IF(G246&gt;E249,1-H245-H246,0)</f>
        <v>0</v>
      </c>
      <c r="I244" s="160"/>
      <c r="J244" s="166">
        <f>IF(E244&gt;0,L234/E244,0)</f>
        <v>5.2890149874009522E-2</v>
      </c>
      <c r="K244" s="120"/>
      <c r="L244" s="170">
        <f>IF(G$246&gt;E$249,J244*H244,J244*G244)</f>
        <v>2.7022454931917159E-2</v>
      </c>
      <c r="M244" s="143"/>
      <c r="N244" s="169">
        <v>2.7022454931917159E-2</v>
      </c>
      <c r="O244" s="157"/>
      <c r="P244" s="169">
        <f>IF(N244="","",N244-L244)</f>
        <v>0</v>
      </c>
      <c r="Q244" s="168"/>
      <c r="R244" s="168"/>
      <c r="S244" s="168"/>
      <c r="T244" s="168"/>
      <c r="U244" s="168"/>
    </row>
    <row r="245" spans="1:21">
      <c r="A245" s="105"/>
      <c r="B245" s="115">
        <f>+B244+1</f>
        <v>149</v>
      </c>
      <c r="C245" s="114"/>
      <c r="D245" s="131" t="s">
        <v>340</v>
      </c>
      <c r="E245" s="167">
        <v>0</v>
      </c>
      <c r="G245" s="162">
        <f>IF($E$247&gt;0,E245/$E$247,0)</f>
        <v>0</v>
      </c>
      <c r="H245" s="161">
        <f>IF(G246&gt;E249,G245,0)</f>
        <v>0</v>
      </c>
      <c r="I245" s="160"/>
      <c r="J245" s="166">
        <f>IF(E245&gt;0,L235/E245,0)</f>
        <v>0</v>
      </c>
      <c r="K245" s="120"/>
      <c r="L245" s="165">
        <f>IF(G$246&gt;E$249,J245*H245,J245*G245)</f>
        <v>0</v>
      </c>
      <c r="M245" s="143"/>
      <c r="N245" s="164">
        <v>0</v>
      </c>
      <c r="O245" s="157"/>
      <c r="P245" s="164">
        <f>IF(N245="","",N245-L245)</f>
        <v>0</v>
      </c>
    </row>
    <row r="246" spans="1:21" ht="15.75" thickBot="1">
      <c r="A246" s="105"/>
      <c r="B246" s="115">
        <f>+B245+1</f>
        <v>150</v>
      </c>
      <c r="C246" s="114"/>
      <c r="D246" s="155" t="str">
        <f>"Avg Common Stock  (ln "&amp;B241&amp;") (Note U)"</f>
        <v>Avg Common Stock  (ln 146) (Note U)</v>
      </c>
      <c r="E246" s="163">
        <f>+L241</f>
        <v>979807423</v>
      </c>
      <c r="G246" s="162">
        <f>IF($E$247&gt;0,E246/$E$247,0)</f>
        <v>0.48908341163169733</v>
      </c>
      <c r="H246" s="161">
        <f>IF(G246&gt;E249,E249,0)</f>
        <v>0</v>
      </c>
      <c r="I246" s="160"/>
      <c r="J246" s="159">
        <v>0.112</v>
      </c>
      <c r="K246" s="120"/>
      <c r="L246" s="158">
        <f>IF(G$246&gt;E$249,J246*H246,J246*G246)</f>
        <v>5.47773421027501E-2</v>
      </c>
      <c r="M246" s="143"/>
      <c r="N246" s="156">
        <v>5.47773421027501E-2</v>
      </c>
      <c r="O246" s="157"/>
      <c r="P246" s="156">
        <f>IF(N246="","",N246-L246)</f>
        <v>0</v>
      </c>
    </row>
    <row r="247" spans="1:21" ht="15.75">
      <c r="A247" s="105"/>
      <c r="B247" s="115">
        <f>+B246+1</f>
        <v>151</v>
      </c>
      <c r="C247" s="114"/>
      <c r="D247" s="155" t="str">
        <f>"  Total  (sum lns "&amp;B244&amp;" to "&amp;B246&amp;")"</f>
        <v xml:space="preserve">  Total  (sum lns 148 to 150)</v>
      </c>
      <c r="E247" s="154">
        <f>E246+E245+E244</f>
        <v>2003354437.5</v>
      </c>
      <c r="G247" s="131" t="s">
        <v>288</v>
      </c>
      <c r="I247" s="131"/>
      <c r="J247" s="143"/>
      <c r="K247" s="153" t="s">
        <v>339</v>
      </c>
      <c r="L247" s="152">
        <f>SUM(L244:L246)</f>
        <v>8.1799797034667263E-2</v>
      </c>
      <c r="M247" s="143"/>
      <c r="N247" s="150">
        <v>8.1799797034667263E-2</v>
      </c>
      <c r="O247" s="151"/>
      <c r="P247" s="150">
        <f>IF(N247="","",N247-L247)</f>
        <v>0</v>
      </c>
    </row>
    <row r="248" spans="1:21">
      <c r="A248" s="105"/>
      <c r="B248" s="149"/>
      <c r="C248" s="108"/>
      <c r="D248" s="108"/>
      <c r="E248" s="143"/>
      <c r="F248" s="143"/>
      <c r="G248" s="143"/>
      <c r="H248" s="143"/>
      <c r="I248" s="143"/>
      <c r="J248" s="129"/>
      <c r="K248" s="129"/>
      <c r="L248" s="129"/>
      <c r="M248" s="143"/>
      <c r="N248" s="108"/>
      <c r="O248" s="111"/>
      <c r="P248" s="111"/>
      <c r="Q248" s="111"/>
      <c r="R248" s="111"/>
      <c r="S248" s="111"/>
      <c r="T248" s="111"/>
      <c r="U248" s="111"/>
    </row>
    <row r="249" spans="1:21">
      <c r="A249" s="105"/>
      <c r="B249" s="134">
        <f>+B247+1</f>
        <v>152</v>
      </c>
      <c r="C249" s="108"/>
      <c r="D249" s="148" t="s">
        <v>338</v>
      </c>
      <c r="E249" s="147">
        <f>+'[3]OKT Historic TCOS'!E262</f>
        <v>0.52500000000000002</v>
      </c>
      <c r="F249" s="143"/>
      <c r="G249" s="146"/>
      <c r="H249" s="143"/>
      <c r="I249" s="143"/>
      <c r="J249" s="131"/>
      <c r="K249" s="125"/>
      <c r="L249" s="131"/>
      <c r="M249" s="143"/>
      <c r="N249" s="108"/>
      <c r="O249" s="111"/>
      <c r="P249" s="111"/>
      <c r="Q249" s="111"/>
      <c r="R249" s="111"/>
      <c r="S249" s="111"/>
      <c r="T249" s="111"/>
      <c r="U249" s="111"/>
    </row>
    <row r="250" spans="1:21" s="105" customFormat="1">
      <c r="B250" s="115"/>
      <c r="C250" s="143"/>
      <c r="D250" s="143"/>
      <c r="E250" s="143"/>
      <c r="F250" s="143"/>
      <c r="G250" s="143"/>
      <c r="H250" s="143"/>
      <c r="I250" s="143"/>
      <c r="J250" s="131"/>
      <c r="K250" s="125"/>
      <c r="L250" s="131"/>
      <c r="M250" s="143"/>
      <c r="N250" s="143"/>
      <c r="O250" s="111"/>
      <c r="P250" s="111"/>
      <c r="Q250" s="111"/>
      <c r="R250" s="111"/>
      <c r="S250" s="111"/>
      <c r="T250" s="111"/>
      <c r="U250" s="111"/>
    </row>
    <row r="251" spans="1:21" ht="15.75">
      <c r="B251" s="134"/>
      <c r="C251" s="133"/>
      <c r="D251" s="145"/>
      <c r="E251" s="145"/>
      <c r="F251" s="140" t="str">
        <f>F186</f>
        <v xml:space="preserve">AEP West SPP Member Companies </v>
      </c>
      <c r="G251" s="144"/>
      <c r="H251" s="139"/>
      <c r="I251" s="139"/>
      <c r="J251" s="139"/>
      <c r="K251" s="138"/>
      <c r="L251" s="139"/>
      <c r="M251" s="143"/>
      <c r="N251" s="108"/>
      <c r="O251" s="111"/>
      <c r="P251" s="111"/>
      <c r="Q251" s="111"/>
      <c r="R251" s="111"/>
      <c r="S251" s="111"/>
      <c r="T251" s="111"/>
      <c r="U251" s="111"/>
    </row>
    <row r="252" spans="1:21">
      <c r="B252" s="134"/>
      <c r="C252" s="133"/>
      <c r="D252" s="142"/>
      <c r="E252" s="133"/>
      <c r="F252" s="140" t="str">
        <f>F187</f>
        <v>Transmission Cost of Service Formula Rate</v>
      </c>
      <c r="G252" s="139"/>
      <c r="H252" s="139"/>
      <c r="I252" s="139"/>
      <c r="J252" s="139"/>
      <c r="K252" s="138"/>
      <c r="L252" s="136"/>
      <c r="M252" s="108"/>
      <c r="N252" s="108"/>
      <c r="O252" s="111"/>
      <c r="P252" s="111"/>
      <c r="Q252" s="111"/>
      <c r="R252" s="111"/>
      <c r="S252" s="111"/>
      <c r="T252" s="111"/>
      <c r="U252" s="111"/>
    </row>
    <row r="253" spans="1:21" ht="15.75">
      <c r="B253" s="134"/>
      <c r="C253" s="133"/>
      <c r="D253" s="142"/>
      <c r="E253" s="141"/>
      <c r="F253" s="140" t="str">
        <f>F188</f>
        <v>Utilizing Actual Cost Data for 2014 with Average Ratebase Balances</v>
      </c>
      <c r="G253" s="139"/>
      <c r="H253" s="139"/>
      <c r="I253" s="139"/>
      <c r="J253" s="139"/>
      <c r="K253" s="138"/>
      <c r="L253" s="136"/>
      <c r="M253" s="108"/>
      <c r="N253" s="108"/>
      <c r="O253" s="111"/>
      <c r="P253" s="111"/>
      <c r="Q253" s="111"/>
      <c r="R253" s="111"/>
      <c r="S253" s="111"/>
      <c r="T253" s="111"/>
      <c r="U253" s="111"/>
    </row>
    <row r="254" spans="1:21" ht="15.75">
      <c r="B254" s="134"/>
      <c r="C254" s="133"/>
      <c r="D254" s="142"/>
      <c r="E254" s="141"/>
      <c r="F254" s="140"/>
      <c r="G254" s="139"/>
      <c r="H254" s="139"/>
      <c r="I254" s="139"/>
      <c r="J254" s="139"/>
      <c r="K254" s="138"/>
      <c r="L254" s="136"/>
      <c r="M254" s="108"/>
      <c r="N254" s="108"/>
      <c r="O254" s="111"/>
      <c r="P254" s="111"/>
      <c r="Q254" s="111"/>
      <c r="R254" s="111"/>
      <c r="S254" s="111"/>
      <c r="T254" s="111"/>
      <c r="U254" s="111"/>
    </row>
    <row r="255" spans="1:21" ht="15.75">
      <c r="B255" s="134"/>
      <c r="C255" s="133"/>
      <c r="D255" s="142"/>
      <c r="E255" s="141"/>
      <c r="F255" s="140" t="str">
        <f>F190</f>
        <v>AEP OKLAHOMA TRANSMISSION COMPANY, INC</v>
      </c>
      <c r="G255" s="139"/>
      <c r="H255" s="139"/>
      <c r="I255" s="139"/>
      <c r="J255" s="139"/>
      <c r="K255" s="138"/>
      <c r="L255" s="136"/>
      <c r="M255" s="108"/>
      <c r="N255" s="108"/>
      <c r="O255" s="111"/>
      <c r="P255" s="111"/>
      <c r="Q255" s="111"/>
      <c r="R255" s="111"/>
      <c r="S255" s="111"/>
      <c r="T255" s="111"/>
      <c r="U255" s="111"/>
    </row>
    <row r="256" spans="1:21" ht="15.75">
      <c r="B256" s="134"/>
      <c r="C256" s="133"/>
      <c r="D256" s="142"/>
      <c r="E256" s="141"/>
      <c r="F256" s="140"/>
      <c r="G256" s="139"/>
      <c r="H256" s="139"/>
      <c r="I256" s="139"/>
      <c r="J256" s="139"/>
      <c r="K256" s="138"/>
      <c r="L256" s="136"/>
      <c r="M256" s="108"/>
      <c r="N256" s="108"/>
      <c r="O256" s="111"/>
      <c r="P256" s="111"/>
      <c r="Q256" s="111"/>
      <c r="R256" s="111"/>
      <c r="S256" s="111"/>
      <c r="T256" s="111"/>
      <c r="U256" s="111"/>
    </row>
    <row r="257" spans="2:21" ht="15.75">
      <c r="B257" s="137" t="s">
        <v>337</v>
      </c>
      <c r="C257" s="132"/>
      <c r="D257" s="119"/>
      <c r="E257" s="125"/>
      <c r="F257" s="137" t="s">
        <v>336</v>
      </c>
      <c r="G257" s="131"/>
      <c r="H257" s="131"/>
      <c r="I257" s="131"/>
      <c r="J257" s="131"/>
      <c r="K257" s="125"/>
      <c r="L257" s="131"/>
      <c r="M257" s="108"/>
      <c r="N257" s="108"/>
      <c r="O257" s="111"/>
      <c r="P257" s="111"/>
      <c r="Q257" s="111"/>
      <c r="R257" s="111"/>
      <c r="S257" s="111"/>
      <c r="T257" s="111"/>
      <c r="U257" s="111"/>
    </row>
    <row r="258" spans="2:21">
      <c r="C258" s="132"/>
      <c r="L258" s="136"/>
      <c r="M258" s="108"/>
      <c r="N258" s="108"/>
      <c r="O258" s="111"/>
      <c r="P258" s="111"/>
      <c r="Q258" s="111"/>
      <c r="R258" s="111"/>
      <c r="S258" s="111"/>
      <c r="T258" s="111"/>
      <c r="U258" s="111"/>
    </row>
    <row r="259" spans="2:21">
      <c r="C259" s="132"/>
      <c r="D259" s="135" t="s">
        <v>335</v>
      </c>
      <c r="J259" s="118"/>
      <c r="K259" s="108"/>
      <c r="L259" s="108"/>
      <c r="M259" s="108"/>
      <c r="N259" s="108"/>
      <c r="O259" s="111"/>
      <c r="P259" s="111"/>
      <c r="Q259" s="111"/>
      <c r="R259" s="111"/>
      <c r="S259" s="111"/>
      <c r="T259" s="111"/>
      <c r="U259" s="111"/>
    </row>
    <row r="260" spans="2:21">
      <c r="B260" s="134"/>
      <c r="C260" s="133"/>
      <c r="D260" s="105" t="s">
        <v>334</v>
      </c>
      <c r="E260" s="114"/>
      <c r="F260" s="114"/>
      <c r="G260" s="131"/>
      <c r="H260" s="131"/>
      <c r="I260" s="131"/>
      <c r="J260" s="126"/>
      <c r="K260" s="108"/>
      <c r="L260" s="108"/>
      <c r="M260" s="108"/>
      <c r="N260" s="108"/>
      <c r="O260" s="111"/>
      <c r="P260" s="111"/>
      <c r="Q260" s="111"/>
      <c r="R260" s="111"/>
      <c r="S260" s="111"/>
      <c r="T260" s="111"/>
      <c r="U260" s="111"/>
    </row>
    <row r="261" spans="2:21">
      <c r="B261" s="104"/>
      <c r="D261" s="119" t="s">
        <v>333</v>
      </c>
      <c r="E261" s="125"/>
      <c r="F261" s="125"/>
      <c r="G261" s="131"/>
      <c r="H261" s="131"/>
      <c r="I261" s="131"/>
      <c r="J261" s="126"/>
      <c r="K261" s="108"/>
      <c r="L261" s="108"/>
      <c r="M261" s="108"/>
      <c r="N261" s="108"/>
      <c r="O261" s="111"/>
      <c r="P261" s="111"/>
      <c r="Q261" s="111"/>
      <c r="R261" s="111"/>
      <c r="S261" s="111"/>
      <c r="T261" s="111"/>
      <c r="U261" s="111"/>
    </row>
    <row r="262" spans="2:21">
      <c r="B262" s="104"/>
      <c r="D262" s="119"/>
      <c r="E262" s="125"/>
      <c r="F262" s="125"/>
      <c r="G262" s="131"/>
      <c r="H262" s="131"/>
      <c r="I262" s="131"/>
      <c r="J262" s="126"/>
      <c r="K262" s="108"/>
      <c r="L262" s="108"/>
      <c r="M262" s="108"/>
      <c r="N262" s="108"/>
      <c r="O262" s="111"/>
      <c r="P262" s="111"/>
      <c r="Q262" s="111"/>
      <c r="R262" s="111"/>
      <c r="S262" s="111"/>
      <c r="T262" s="111"/>
      <c r="U262" s="111"/>
    </row>
    <row r="263" spans="2:21">
      <c r="B263" s="123" t="s">
        <v>332</v>
      </c>
      <c r="C263" s="132"/>
      <c r="D263" s="119" t="s">
        <v>331</v>
      </c>
      <c r="E263" s="125"/>
      <c r="F263" s="125"/>
      <c r="G263" s="131"/>
      <c r="H263" s="131"/>
      <c r="I263" s="131"/>
      <c r="J263" s="126"/>
      <c r="K263" s="108"/>
      <c r="L263" s="108"/>
      <c r="M263" s="108"/>
      <c r="N263" s="108"/>
      <c r="O263" s="111"/>
      <c r="P263" s="111"/>
      <c r="Q263" s="111"/>
      <c r="R263" s="111"/>
      <c r="S263" s="111"/>
      <c r="T263" s="111"/>
      <c r="U263" s="111"/>
    </row>
    <row r="264" spans="2:21">
      <c r="B264" s="123"/>
      <c r="C264" s="122"/>
      <c r="D264" s="119" t="s">
        <v>330</v>
      </c>
      <c r="E264" s="125"/>
      <c r="F264" s="125"/>
      <c r="G264" s="125"/>
      <c r="H264" s="125"/>
      <c r="I264" s="125"/>
      <c r="J264" s="124"/>
      <c r="K264" s="108"/>
      <c r="L264" s="108"/>
      <c r="M264" s="108"/>
      <c r="N264" s="108"/>
      <c r="O264" s="111"/>
      <c r="P264" s="111"/>
      <c r="Q264" s="111"/>
      <c r="R264" s="111"/>
      <c r="S264" s="111"/>
      <c r="T264" s="111"/>
      <c r="U264" s="111"/>
    </row>
    <row r="265" spans="2:21">
      <c r="B265" s="121"/>
      <c r="C265" s="120"/>
      <c r="D265" s="119" t="s">
        <v>329</v>
      </c>
      <c r="E265" s="127"/>
      <c r="F265" s="127"/>
      <c r="G265" s="125"/>
      <c r="H265" s="125"/>
      <c r="I265" s="125"/>
      <c r="J265" s="124"/>
      <c r="K265" s="108"/>
      <c r="L265" s="108"/>
      <c r="M265" s="108"/>
      <c r="N265" s="108"/>
      <c r="O265" s="111"/>
      <c r="P265" s="111"/>
      <c r="Q265" s="111"/>
      <c r="R265" s="111"/>
      <c r="S265" s="111"/>
      <c r="T265" s="111"/>
      <c r="U265" s="111"/>
    </row>
    <row r="266" spans="2:21">
      <c r="B266" s="121"/>
      <c r="C266" s="120"/>
      <c r="D266" s="119" t="s">
        <v>328</v>
      </c>
      <c r="E266" s="125"/>
      <c r="F266" s="125"/>
      <c r="G266" s="125"/>
      <c r="H266" s="125"/>
      <c r="I266" s="125"/>
      <c r="J266" s="124"/>
      <c r="K266" s="108"/>
      <c r="L266" s="108"/>
      <c r="M266" s="108"/>
      <c r="N266" s="108"/>
      <c r="O266" s="111"/>
      <c r="P266" s="111"/>
      <c r="Q266" s="111"/>
      <c r="R266" s="111"/>
      <c r="S266" s="111"/>
      <c r="T266" s="111"/>
      <c r="U266" s="111"/>
    </row>
    <row r="267" spans="2:21">
      <c r="B267" s="115"/>
      <c r="C267" s="114"/>
      <c r="D267" s="119" t="s">
        <v>327</v>
      </c>
      <c r="E267" s="125"/>
      <c r="F267" s="125"/>
      <c r="G267" s="125"/>
      <c r="H267" s="125"/>
      <c r="I267" s="125"/>
      <c r="J267" s="124"/>
      <c r="K267" s="108"/>
      <c r="L267" s="108"/>
      <c r="M267" s="108"/>
      <c r="N267" s="108"/>
      <c r="O267" s="111"/>
      <c r="P267" s="111"/>
      <c r="Q267" s="111"/>
      <c r="R267" s="111"/>
      <c r="S267" s="111"/>
      <c r="T267" s="111"/>
      <c r="U267" s="111"/>
    </row>
    <row r="268" spans="2:21" ht="15" customHeight="1">
      <c r="B268" s="115"/>
      <c r="C268" s="114"/>
      <c r="D268" s="119"/>
      <c r="E268" s="125"/>
      <c r="F268" s="125"/>
      <c r="G268" s="125"/>
      <c r="H268" s="125"/>
      <c r="I268" s="125"/>
      <c r="J268" s="124"/>
      <c r="K268" s="108"/>
      <c r="L268" s="108"/>
      <c r="M268" s="108"/>
      <c r="N268" s="108"/>
      <c r="O268" s="111"/>
      <c r="P268" s="111"/>
      <c r="Q268" s="111"/>
      <c r="R268" s="111"/>
      <c r="S268" s="111"/>
      <c r="T268" s="111"/>
      <c r="U268" s="111"/>
    </row>
    <row r="269" spans="2:21">
      <c r="B269" s="115" t="s">
        <v>326</v>
      </c>
      <c r="C269" s="114"/>
      <c r="D269" s="130" t="s">
        <v>325</v>
      </c>
      <c r="E269" s="125"/>
      <c r="F269" s="125"/>
      <c r="G269" s="125"/>
      <c r="H269" s="125"/>
      <c r="I269" s="125"/>
      <c r="J269" s="124"/>
      <c r="K269" s="108"/>
      <c r="L269" s="108"/>
      <c r="M269" s="108"/>
      <c r="N269" s="108"/>
      <c r="O269" s="111"/>
      <c r="P269" s="111"/>
      <c r="Q269" s="111"/>
      <c r="R269" s="111"/>
      <c r="S269" s="111"/>
      <c r="T269" s="111"/>
      <c r="U269" s="111"/>
    </row>
    <row r="270" spans="2:21">
      <c r="B270" s="115"/>
      <c r="C270" s="114"/>
      <c r="D270" s="130"/>
      <c r="E270" s="125"/>
      <c r="F270" s="125"/>
      <c r="G270" s="125"/>
      <c r="H270" s="125"/>
      <c r="I270" s="125"/>
      <c r="J270" s="124"/>
      <c r="K270" s="108"/>
      <c r="L270" s="108"/>
      <c r="M270" s="108"/>
      <c r="N270" s="108"/>
      <c r="O270" s="111"/>
      <c r="P270" s="111"/>
      <c r="Q270" s="111"/>
      <c r="R270" s="111"/>
      <c r="S270" s="111"/>
      <c r="T270" s="111"/>
      <c r="U270" s="111"/>
    </row>
    <row r="271" spans="2:21">
      <c r="B271" s="115" t="s">
        <v>324</v>
      </c>
      <c r="C271" s="114"/>
      <c r="D271" s="129" t="s">
        <v>323</v>
      </c>
      <c r="E271" s="125"/>
      <c r="F271" s="125"/>
      <c r="G271" s="125"/>
      <c r="H271" s="125"/>
      <c r="I271" s="125"/>
      <c r="J271" s="124"/>
      <c r="K271" s="108"/>
      <c r="L271" s="108"/>
      <c r="M271" s="108"/>
      <c r="N271" s="108"/>
      <c r="O271" s="111"/>
      <c r="P271" s="111"/>
      <c r="Q271" s="111"/>
      <c r="R271" s="111"/>
      <c r="S271" s="111"/>
      <c r="T271" s="111"/>
      <c r="U271" s="111"/>
    </row>
    <row r="272" spans="2:21">
      <c r="B272" s="115"/>
      <c r="C272" s="114"/>
      <c r="D272" s="129" t="str">
        <f>"of the trued-up revenue requirement for each project, based on an FCR rate caclulated from inputs on this TCOS. Line "&amp;B35&amp;" shows the incremental ARR for"</f>
        <v>of the trued-up revenue requirement for each project, based on an FCR rate caclulated from inputs on this TCOS. Line 15 shows the incremental ARR for</v>
      </c>
      <c r="E272" s="125"/>
      <c r="F272" s="125"/>
      <c r="G272" s="125"/>
      <c r="H272" s="125"/>
      <c r="I272" s="125"/>
      <c r="J272" s="124"/>
      <c r="K272" s="108"/>
      <c r="L272" s="108"/>
      <c r="M272" s="108"/>
      <c r="N272" s="108"/>
      <c r="O272" s="111"/>
      <c r="P272" s="111"/>
      <c r="Q272" s="111"/>
      <c r="R272" s="111"/>
      <c r="S272" s="111"/>
      <c r="T272" s="111"/>
      <c r="U272" s="111"/>
    </row>
    <row r="273" spans="2:21">
      <c r="B273" s="115"/>
      <c r="C273" s="114"/>
      <c r="D273" s="129" t="s">
        <v>322</v>
      </c>
      <c r="E273" s="125"/>
      <c r="F273" s="125"/>
      <c r="G273" s="125"/>
      <c r="H273" s="125"/>
      <c r="I273" s="125"/>
      <c r="J273" s="124"/>
      <c r="K273" s="108"/>
      <c r="L273" s="108"/>
      <c r="M273" s="108"/>
      <c r="N273" s="108"/>
      <c r="O273" s="111"/>
      <c r="P273" s="119"/>
      <c r="Q273" s="119"/>
      <c r="R273" s="111"/>
      <c r="S273" s="111"/>
      <c r="T273" s="111"/>
      <c r="U273" s="111"/>
    </row>
    <row r="274" spans="2:21">
      <c r="B274" s="115"/>
      <c r="C274" s="114"/>
      <c r="D274" s="129"/>
      <c r="E274" s="125"/>
      <c r="F274" s="125"/>
      <c r="G274" s="125"/>
      <c r="H274" s="125"/>
      <c r="I274" s="125"/>
      <c r="J274" s="124"/>
      <c r="K274" s="108"/>
      <c r="L274" s="108"/>
      <c r="M274" s="108"/>
      <c r="N274" s="108"/>
      <c r="O274" s="111"/>
      <c r="P274" s="119"/>
      <c r="Q274" s="119"/>
      <c r="R274" s="111"/>
      <c r="S274" s="111"/>
      <c r="T274" s="111"/>
      <c r="U274" s="111"/>
    </row>
    <row r="275" spans="2:21">
      <c r="B275" s="115" t="s">
        <v>321</v>
      </c>
      <c r="C275" s="114"/>
      <c r="D275" s="473" t="s">
        <v>320</v>
      </c>
      <c r="E275" s="474"/>
      <c r="F275" s="474"/>
      <c r="G275" s="474"/>
      <c r="H275" s="474"/>
      <c r="I275" s="474"/>
      <c r="J275" s="474"/>
      <c r="K275" s="108"/>
      <c r="L275" s="108"/>
      <c r="M275" s="108"/>
      <c r="N275" s="108"/>
      <c r="O275" s="111"/>
      <c r="P275" s="119"/>
      <c r="Q275" s="119"/>
      <c r="R275" s="111"/>
      <c r="S275" s="111"/>
      <c r="T275" s="111"/>
      <c r="U275" s="111"/>
    </row>
    <row r="276" spans="2:21">
      <c r="B276" s="115"/>
      <c r="C276" s="114"/>
      <c r="D276" s="474"/>
      <c r="E276" s="474"/>
      <c r="F276" s="474"/>
      <c r="G276" s="474"/>
      <c r="H276" s="474"/>
      <c r="I276" s="474"/>
      <c r="J276" s="474"/>
      <c r="K276" s="108"/>
      <c r="L276" s="108"/>
      <c r="M276" s="108"/>
      <c r="N276" s="108"/>
      <c r="O276" s="111"/>
      <c r="P276" s="119"/>
      <c r="Q276" s="111"/>
      <c r="R276" s="111"/>
      <c r="S276" s="111"/>
      <c r="T276" s="111"/>
      <c r="U276" s="111"/>
    </row>
    <row r="277" spans="2:21">
      <c r="B277" s="115"/>
      <c r="C277" s="114"/>
      <c r="E277" s="125"/>
      <c r="F277" s="125"/>
      <c r="G277" s="125"/>
      <c r="H277" s="125"/>
      <c r="I277" s="125"/>
      <c r="J277" s="124"/>
      <c r="K277" s="108"/>
      <c r="L277" s="108"/>
      <c r="M277" s="108"/>
      <c r="N277" s="108"/>
      <c r="O277" s="111"/>
      <c r="P277" s="111"/>
      <c r="Q277" s="111"/>
      <c r="R277" s="111"/>
      <c r="S277" s="111"/>
      <c r="T277" s="111"/>
      <c r="U277" s="111"/>
    </row>
    <row r="278" spans="2:21">
      <c r="B278" s="115" t="s">
        <v>319</v>
      </c>
      <c r="C278" s="114"/>
      <c r="D278" s="119" t="s">
        <v>318</v>
      </c>
      <c r="E278" s="125"/>
      <c r="F278" s="125"/>
      <c r="G278" s="125"/>
      <c r="H278" s="125"/>
      <c r="I278" s="125"/>
      <c r="J278" s="124"/>
      <c r="K278" s="108"/>
      <c r="L278" s="108"/>
      <c r="M278" s="108"/>
      <c r="N278" s="108"/>
      <c r="O278" s="111"/>
      <c r="P278" s="111"/>
      <c r="Q278" s="111"/>
      <c r="R278" s="111"/>
      <c r="S278" s="111"/>
      <c r="T278" s="111"/>
      <c r="U278" s="111"/>
    </row>
    <row r="279" spans="2:21">
      <c r="B279" s="115"/>
      <c r="C279" s="114"/>
      <c r="D279" s="119" t="s">
        <v>317</v>
      </c>
      <c r="E279" s="125"/>
      <c r="F279" s="125"/>
      <c r="G279" s="125"/>
      <c r="H279" s="125"/>
      <c r="I279" s="125"/>
      <c r="J279" s="124"/>
      <c r="K279" s="108"/>
      <c r="L279" s="108"/>
      <c r="M279" s="108"/>
      <c r="N279" s="108"/>
      <c r="O279" s="111"/>
      <c r="P279" s="111"/>
      <c r="Q279" s="111"/>
      <c r="R279" s="111"/>
      <c r="S279" s="111"/>
      <c r="T279" s="111"/>
      <c r="U279" s="111"/>
    </row>
    <row r="280" spans="2:21">
      <c r="C280" s="114"/>
      <c r="D280" s="119" t="s">
        <v>316</v>
      </c>
      <c r="E280" s="125"/>
      <c r="F280" s="125"/>
      <c r="G280" s="125"/>
      <c r="H280" s="125"/>
      <c r="I280" s="125"/>
      <c r="J280" s="124"/>
      <c r="K280" s="108"/>
      <c r="L280" s="108"/>
      <c r="M280" s="108"/>
      <c r="N280" s="108"/>
      <c r="O280" s="111"/>
      <c r="P280" s="111"/>
      <c r="Q280" s="111"/>
      <c r="R280" s="111"/>
      <c r="S280" s="111"/>
      <c r="T280" s="111"/>
      <c r="U280" s="111"/>
    </row>
    <row r="281" spans="2:21">
      <c r="B281" s="115"/>
      <c r="C281" s="114"/>
      <c r="D281" s="119" t="s">
        <v>315</v>
      </c>
      <c r="E281" s="125"/>
      <c r="F281" s="125"/>
      <c r="G281" s="125"/>
      <c r="H281" s="125"/>
      <c r="I281" s="125"/>
      <c r="J281" s="124"/>
      <c r="K281" s="108"/>
      <c r="L281" s="108"/>
      <c r="M281" s="108"/>
      <c r="N281" s="108"/>
      <c r="O281" s="111"/>
      <c r="P281" s="111"/>
      <c r="Q281" s="111"/>
      <c r="R281" s="111"/>
      <c r="S281" s="111"/>
      <c r="T281" s="111"/>
      <c r="U281" s="111"/>
    </row>
    <row r="282" spans="2:21">
      <c r="B282" s="115"/>
      <c r="C282" s="114"/>
      <c r="D282" s="119"/>
      <c r="E282" s="125"/>
      <c r="F282" s="125"/>
      <c r="G282" s="125"/>
      <c r="H282" s="125"/>
      <c r="I282" s="125"/>
      <c r="J282" s="124"/>
      <c r="K282" s="108"/>
      <c r="L282" s="108"/>
      <c r="M282" s="108"/>
      <c r="N282" s="108"/>
      <c r="O282" s="111"/>
      <c r="P282" s="111"/>
      <c r="Q282" s="111"/>
      <c r="R282" s="111"/>
      <c r="S282" s="111"/>
      <c r="T282" s="111"/>
      <c r="U282" s="111"/>
    </row>
    <row r="283" spans="2:21">
      <c r="B283" s="115" t="s">
        <v>314</v>
      </c>
      <c r="C283" s="114"/>
      <c r="D283" s="119" t="s">
        <v>313</v>
      </c>
      <c r="E283" s="125"/>
      <c r="F283" s="125"/>
      <c r="G283" s="125"/>
      <c r="H283" s="125"/>
      <c r="I283" s="125"/>
      <c r="J283" s="124"/>
      <c r="K283" s="108"/>
      <c r="L283" s="108"/>
      <c r="M283" s="108"/>
      <c r="N283" s="108"/>
      <c r="O283" s="111"/>
      <c r="P283" s="111"/>
      <c r="Q283" s="111"/>
      <c r="R283" s="111"/>
      <c r="S283" s="111"/>
      <c r="T283" s="111"/>
      <c r="U283" s="111"/>
    </row>
    <row r="284" spans="2:21">
      <c r="B284" s="115"/>
      <c r="C284" s="114"/>
      <c r="D284" s="119"/>
      <c r="E284" s="125"/>
      <c r="F284" s="125"/>
      <c r="G284" s="125"/>
      <c r="H284" s="125"/>
      <c r="I284" s="125"/>
      <c r="J284" s="124"/>
      <c r="K284" s="108"/>
      <c r="L284" s="108"/>
      <c r="M284" s="108"/>
      <c r="N284" s="108"/>
      <c r="O284" s="111"/>
      <c r="P284" s="111"/>
      <c r="Q284" s="111"/>
      <c r="R284" s="111"/>
      <c r="S284" s="111"/>
      <c r="T284" s="111"/>
      <c r="U284" s="111"/>
    </row>
    <row r="285" spans="2:21">
      <c r="B285" s="115" t="s">
        <v>312</v>
      </c>
      <c r="C285" s="114"/>
      <c r="D285" s="119" t="str">
        <f>"Cash Working Capital assigned to transmission is one-eighth of O&amp;M allocated to transmission on line "&amp;B130&amp;"."</f>
        <v>Cash Working Capital assigned to transmission is one-eighth of O&amp;M allocated to transmission on line 68.</v>
      </c>
      <c r="E285" s="125"/>
      <c r="F285" s="125"/>
      <c r="G285" s="125"/>
      <c r="H285" s="125"/>
      <c r="I285" s="125"/>
      <c r="J285" s="124"/>
      <c r="K285" s="108"/>
      <c r="L285" s="108"/>
      <c r="M285" s="108"/>
      <c r="N285" s="108"/>
      <c r="O285" s="111"/>
      <c r="P285" s="111"/>
      <c r="Q285" s="111"/>
      <c r="R285" s="111"/>
      <c r="S285" s="111"/>
      <c r="T285" s="111"/>
      <c r="U285" s="111"/>
    </row>
    <row r="286" spans="2:21">
      <c r="B286" s="115"/>
      <c r="C286" s="114"/>
      <c r="D286" s="119"/>
      <c r="E286" s="125"/>
      <c r="F286" s="125"/>
      <c r="G286" s="125"/>
      <c r="H286" s="125"/>
      <c r="I286" s="125"/>
      <c r="J286" s="124"/>
      <c r="K286" s="108"/>
      <c r="L286" s="108"/>
      <c r="M286" s="108"/>
      <c r="N286" s="108"/>
      <c r="O286" s="111"/>
      <c r="P286" s="111"/>
      <c r="Q286" s="111"/>
      <c r="R286" s="111"/>
      <c r="S286" s="111"/>
      <c r="T286" s="111"/>
      <c r="U286" s="111"/>
    </row>
    <row r="287" spans="2:21">
      <c r="B287" s="123" t="s">
        <v>311</v>
      </c>
      <c r="C287" s="122"/>
      <c r="D287" s="120" t="str">
        <f>"Consistent with Paragraph 657 of Order 2003-A, the amount on line "&amp;B109&amp;" is equal to the balance of IPP System Upgrade Credits owed to transmission customers that"</f>
        <v>Consistent with Paragraph 657 of Order 2003-A, the amount on line 62 is equal to the balance of IPP System Upgrade Credits owed to transmission customers that</v>
      </c>
      <c r="E287" s="120"/>
      <c r="F287" s="120"/>
      <c r="G287" s="120"/>
      <c r="H287" s="120"/>
      <c r="I287" s="120"/>
      <c r="J287" s="126"/>
      <c r="K287" s="108"/>
      <c r="L287" s="108"/>
      <c r="M287" s="108"/>
      <c r="N287" s="108"/>
      <c r="O287" s="111"/>
      <c r="P287" s="111"/>
      <c r="Q287" s="111"/>
      <c r="R287" s="111"/>
      <c r="S287" s="111"/>
      <c r="T287" s="111"/>
      <c r="U287" s="111"/>
    </row>
    <row r="288" spans="2:21">
      <c r="B288" s="121"/>
      <c r="C288" s="120"/>
      <c r="D288" s="120" t="s">
        <v>310</v>
      </c>
      <c r="E288" s="120"/>
      <c r="F288" s="120"/>
      <c r="G288" s="120"/>
      <c r="H288" s="120"/>
      <c r="I288" s="120"/>
      <c r="J288" s="126"/>
      <c r="K288" s="108"/>
      <c r="L288" s="108"/>
      <c r="M288" s="108"/>
      <c r="N288" s="108"/>
      <c r="O288" s="111"/>
      <c r="P288" s="111"/>
      <c r="Q288" s="111"/>
      <c r="R288" s="111"/>
      <c r="S288" s="111"/>
      <c r="T288" s="111"/>
      <c r="U288" s="111"/>
    </row>
    <row r="289" spans="2:21">
      <c r="B289" s="121"/>
      <c r="C289" s="120"/>
      <c r="D289" s="120" t="str">
        <f>"expense is included on line "&amp;B176&amp;"."</f>
        <v>expense is included on line 105.</v>
      </c>
      <c r="E289" s="120"/>
      <c r="F289" s="120"/>
      <c r="G289" s="120"/>
      <c r="H289" s="120"/>
      <c r="I289" s="120"/>
      <c r="J289" s="126"/>
      <c r="K289" s="108"/>
      <c r="L289" s="108"/>
      <c r="M289" s="108"/>
      <c r="N289" s="108"/>
      <c r="O289" s="111"/>
      <c r="P289" s="111"/>
      <c r="Q289" s="111"/>
      <c r="R289" s="111"/>
      <c r="S289" s="111"/>
      <c r="T289" s="111"/>
      <c r="U289" s="111"/>
    </row>
    <row r="290" spans="2:21">
      <c r="B290" s="121"/>
      <c r="C290" s="120"/>
      <c r="D290" s="120"/>
      <c r="E290" s="120"/>
      <c r="F290" s="120"/>
      <c r="G290" s="120"/>
      <c r="H290" s="120"/>
      <c r="I290" s="120"/>
      <c r="J290" s="126"/>
      <c r="K290" s="108"/>
      <c r="L290" s="108"/>
      <c r="M290" s="108"/>
      <c r="N290" s="108"/>
      <c r="O290" s="111"/>
      <c r="P290" s="111"/>
      <c r="Q290" s="111"/>
      <c r="R290" s="111"/>
      <c r="S290" s="111"/>
      <c r="T290" s="111"/>
      <c r="U290" s="111"/>
    </row>
    <row r="291" spans="2:21">
      <c r="B291" s="123" t="s">
        <v>309</v>
      </c>
      <c r="C291" s="120"/>
      <c r="D291" s="119" t="s">
        <v>308</v>
      </c>
      <c r="E291" s="120"/>
      <c r="F291" s="120"/>
      <c r="G291" s="120"/>
      <c r="H291" s="120"/>
      <c r="I291" s="120"/>
      <c r="J291" s="126"/>
      <c r="K291" s="108"/>
      <c r="L291" s="108"/>
      <c r="M291" s="108"/>
      <c r="N291" s="108"/>
      <c r="O291" s="111"/>
      <c r="P291" s="111"/>
      <c r="Q291" s="111"/>
      <c r="R291" s="111"/>
      <c r="S291" s="111"/>
      <c r="T291" s="111"/>
      <c r="U291" s="111"/>
    </row>
    <row r="292" spans="2:21">
      <c r="B292" s="123"/>
      <c r="C292" s="120"/>
      <c r="D292" s="119"/>
      <c r="E292" s="120"/>
      <c r="F292" s="120"/>
      <c r="G292" s="120"/>
      <c r="H292" s="120"/>
      <c r="I292" s="120"/>
      <c r="J292" s="126"/>
      <c r="K292" s="108"/>
      <c r="L292" s="108"/>
      <c r="M292" s="108"/>
      <c r="N292" s="108"/>
      <c r="O292" s="111"/>
      <c r="P292" s="111"/>
      <c r="Q292" s="111"/>
      <c r="R292" s="111"/>
      <c r="S292" s="111"/>
      <c r="T292" s="111"/>
      <c r="U292" s="111"/>
    </row>
    <row r="293" spans="2:21">
      <c r="B293" s="123" t="s">
        <v>307</v>
      </c>
      <c r="C293" s="120"/>
      <c r="D293" s="120" t="s">
        <v>306</v>
      </c>
      <c r="E293" s="120"/>
      <c r="F293" s="120"/>
      <c r="G293" s="120"/>
      <c r="H293" s="120"/>
      <c r="I293" s="120"/>
      <c r="J293" s="126"/>
      <c r="K293" s="108"/>
      <c r="L293" s="108"/>
      <c r="M293" s="108"/>
      <c r="N293" s="108"/>
      <c r="O293" s="111"/>
      <c r="P293" s="111"/>
      <c r="Q293" s="111"/>
      <c r="R293" s="111"/>
      <c r="S293" s="111"/>
      <c r="T293" s="111"/>
      <c r="U293" s="111"/>
    </row>
    <row r="294" spans="2:21">
      <c r="B294" s="123"/>
      <c r="C294" s="120"/>
      <c r="D294" s="120"/>
      <c r="E294" s="120"/>
      <c r="F294" s="120"/>
      <c r="G294" s="120"/>
      <c r="H294" s="120"/>
      <c r="I294" s="120"/>
      <c r="J294" s="126"/>
      <c r="K294" s="108"/>
      <c r="L294" s="108"/>
      <c r="M294" s="108"/>
      <c r="N294" s="108"/>
      <c r="O294" s="111"/>
      <c r="P294" s="111"/>
      <c r="Q294" s="111"/>
      <c r="R294" s="111"/>
      <c r="S294" s="111"/>
      <c r="T294" s="111"/>
      <c r="U294" s="111"/>
    </row>
    <row r="295" spans="2:21">
      <c r="B295" s="115" t="s">
        <v>305</v>
      </c>
      <c r="C295" s="120"/>
      <c r="D295" s="120" t="s">
        <v>304</v>
      </c>
      <c r="E295" s="120"/>
      <c r="F295" s="120"/>
      <c r="G295" s="120"/>
      <c r="H295" s="120"/>
      <c r="I295" s="120"/>
      <c r="J295" s="126"/>
      <c r="K295" s="108"/>
      <c r="L295" s="108"/>
      <c r="M295" s="108"/>
      <c r="N295" s="108"/>
      <c r="O295" s="111"/>
      <c r="P295" s="111"/>
      <c r="Q295" s="111"/>
      <c r="R295" s="111"/>
      <c r="S295" s="111"/>
      <c r="T295" s="111"/>
      <c r="U295" s="111"/>
    </row>
    <row r="296" spans="2:21">
      <c r="B296" s="123"/>
      <c r="C296" s="120"/>
      <c r="D296" s="120"/>
      <c r="E296" s="120"/>
      <c r="F296" s="120"/>
      <c r="G296" s="120"/>
      <c r="H296" s="120"/>
      <c r="I296" s="120"/>
      <c r="J296" s="126"/>
      <c r="K296" s="108"/>
      <c r="L296" s="108"/>
      <c r="M296" s="108"/>
      <c r="N296" s="108"/>
      <c r="O296" s="111"/>
      <c r="P296" s="111"/>
      <c r="Q296" s="111"/>
      <c r="R296" s="111"/>
      <c r="S296" s="111"/>
      <c r="T296" s="111"/>
      <c r="U296" s="111"/>
    </row>
    <row r="297" spans="2:21">
      <c r="B297" s="115" t="s">
        <v>303</v>
      </c>
      <c r="C297" s="114"/>
      <c r="D297" s="119" t="s">
        <v>302</v>
      </c>
      <c r="E297" s="125"/>
      <c r="F297" s="125"/>
      <c r="G297" s="125"/>
      <c r="H297" s="125"/>
      <c r="I297" s="125"/>
      <c r="J297" s="124"/>
      <c r="K297" s="108"/>
      <c r="L297" s="108"/>
      <c r="M297" s="108"/>
      <c r="N297" s="108"/>
      <c r="O297" s="111"/>
      <c r="P297" s="111"/>
      <c r="Q297" s="111"/>
      <c r="R297" s="111"/>
      <c r="S297" s="111"/>
      <c r="T297" s="111"/>
      <c r="U297" s="111"/>
    </row>
    <row r="298" spans="2:21">
      <c r="B298" s="115"/>
      <c r="C298" s="114"/>
      <c r="D298" s="119" t="s">
        <v>301</v>
      </c>
      <c r="E298" s="125"/>
      <c r="F298" s="125"/>
      <c r="G298" s="125"/>
      <c r="H298" s="125"/>
      <c r="I298" s="125"/>
      <c r="J298" s="124"/>
      <c r="K298" s="108"/>
      <c r="L298" s="108"/>
      <c r="M298" s="108"/>
      <c r="N298" s="108"/>
      <c r="O298" s="111"/>
      <c r="P298" s="111"/>
      <c r="Q298" s="111"/>
      <c r="R298" s="111"/>
      <c r="S298" s="111"/>
      <c r="T298" s="111"/>
      <c r="U298" s="111"/>
    </row>
    <row r="299" spans="2:21">
      <c r="B299" s="115"/>
      <c r="C299" s="114"/>
      <c r="D299" s="119" t="s">
        <v>300</v>
      </c>
      <c r="E299" s="125"/>
      <c r="F299" s="125"/>
      <c r="G299" s="125"/>
      <c r="H299" s="125"/>
      <c r="I299" s="125"/>
      <c r="J299" s="124"/>
      <c r="K299" s="108"/>
      <c r="L299" s="108"/>
      <c r="M299" s="108"/>
      <c r="N299" s="108"/>
      <c r="O299" s="111"/>
      <c r="P299" s="111"/>
      <c r="Q299" s="111"/>
      <c r="R299" s="111"/>
      <c r="S299" s="111"/>
      <c r="T299" s="111"/>
      <c r="U299" s="111"/>
    </row>
    <row r="300" spans="2:21">
      <c r="B300" s="115"/>
      <c r="C300" s="114"/>
      <c r="D300" s="120" t="s">
        <v>299</v>
      </c>
      <c r="E300" s="125"/>
      <c r="F300" s="125"/>
      <c r="G300" s="125"/>
      <c r="H300" s="125"/>
      <c r="I300" s="125"/>
      <c r="J300" s="124"/>
      <c r="K300" s="108"/>
      <c r="L300" s="108"/>
      <c r="M300" s="108"/>
      <c r="N300" s="108"/>
      <c r="O300" s="111"/>
      <c r="P300" s="111"/>
      <c r="Q300" s="111"/>
      <c r="R300" s="111"/>
      <c r="S300" s="111"/>
      <c r="T300" s="111"/>
      <c r="U300" s="111"/>
    </row>
    <row r="301" spans="2:21">
      <c r="B301" s="115"/>
      <c r="C301" s="114"/>
      <c r="D301" s="120"/>
      <c r="E301" s="125"/>
      <c r="F301" s="125"/>
      <c r="G301" s="125"/>
      <c r="H301" s="125"/>
      <c r="I301" s="125"/>
      <c r="J301" s="124"/>
      <c r="K301" s="108"/>
      <c r="L301" s="108"/>
      <c r="M301" s="108"/>
      <c r="N301" s="108"/>
      <c r="O301" s="111"/>
      <c r="P301" s="111"/>
      <c r="Q301" s="111"/>
      <c r="R301" s="111"/>
      <c r="S301" s="111"/>
      <c r="T301" s="111"/>
      <c r="U301" s="111"/>
    </row>
    <row r="302" spans="2:21">
      <c r="B302" s="115" t="s">
        <v>298</v>
      </c>
      <c r="C302" s="114"/>
      <c r="D302" s="476" t="s">
        <v>297</v>
      </c>
      <c r="E302" s="474"/>
      <c r="F302" s="474"/>
      <c r="G302" s="474"/>
      <c r="H302" s="474"/>
      <c r="I302" s="474"/>
      <c r="J302" s="474"/>
      <c r="K302" s="108"/>
      <c r="L302" s="108"/>
      <c r="M302" s="108"/>
      <c r="N302" s="108"/>
      <c r="O302" s="111"/>
      <c r="P302" s="111"/>
      <c r="Q302" s="111"/>
      <c r="R302" s="111"/>
      <c r="S302" s="111"/>
      <c r="T302" s="111"/>
      <c r="U302" s="111"/>
    </row>
    <row r="303" spans="2:21">
      <c r="B303" s="115"/>
      <c r="C303" s="114"/>
      <c r="D303" s="120"/>
      <c r="E303" s="125"/>
      <c r="F303" s="125"/>
      <c r="G303" s="125"/>
      <c r="H303" s="125"/>
      <c r="I303" s="125"/>
      <c r="J303" s="124"/>
      <c r="K303" s="108"/>
      <c r="L303" s="108"/>
      <c r="M303" s="108"/>
      <c r="N303" s="108"/>
      <c r="O303" s="111"/>
      <c r="P303" s="111"/>
      <c r="Q303" s="111"/>
      <c r="R303" s="111"/>
      <c r="S303" s="111"/>
      <c r="T303" s="111"/>
      <c r="U303" s="111"/>
    </row>
    <row r="304" spans="2:21">
      <c r="B304" s="128" t="s">
        <v>296</v>
      </c>
      <c r="C304" s="114"/>
      <c r="D304" s="477" t="s">
        <v>295</v>
      </c>
      <c r="E304" s="474"/>
      <c r="F304" s="474"/>
      <c r="G304" s="474"/>
      <c r="H304" s="474"/>
      <c r="I304" s="474"/>
      <c r="J304" s="474"/>
      <c r="K304" s="108"/>
      <c r="L304" s="108"/>
      <c r="M304" s="108"/>
      <c r="N304" s="108"/>
      <c r="O304" s="111"/>
      <c r="P304" s="111"/>
      <c r="Q304" s="111"/>
      <c r="R304" s="111"/>
      <c r="S304" s="111"/>
      <c r="T304" s="111"/>
      <c r="U304" s="111"/>
    </row>
    <row r="305" spans="2:21">
      <c r="B305" s="128"/>
      <c r="C305" s="114"/>
      <c r="D305" s="474"/>
      <c r="E305" s="474"/>
      <c r="F305" s="474"/>
      <c r="G305" s="474"/>
      <c r="H305" s="474"/>
      <c r="I305" s="474"/>
      <c r="J305" s="474"/>
      <c r="K305" s="108"/>
      <c r="L305" s="108"/>
      <c r="M305" s="108"/>
      <c r="N305" s="108"/>
      <c r="O305" s="111"/>
      <c r="P305" s="111"/>
      <c r="Q305" s="111"/>
      <c r="R305" s="111"/>
      <c r="S305" s="111"/>
      <c r="T305" s="111"/>
      <c r="U305" s="111"/>
    </row>
    <row r="306" spans="2:21">
      <c r="B306" s="128"/>
      <c r="C306" s="114"/>
      <c r="D306" s="119"/>
      <c r="E306" s="120"/>
      <c r="F306" s="120"/>
      <c r="G306" s="120"/>
      <c r="H306" s="120"/>
      <c r="I306" s="120"/>
      <c r="J306" s="126"/>
      <c r="K306" s="108"/>
      <c r="L306" s="108"/>
      <c r="M306" s="108"/>
      <c r="N306" s="108"/>
      <c r="O306" s="111"/>
      <c r="P306" s="111"/>
      <c r="Q306" s="111"/>
      <c r="R306" s="111"/>
      <c r="S306" s="111"/>
      <c r="T306" s="111"/>
      <c r="U306" s="111"/>
    </row>
    <row r="307" spans="2:21">
      <c r="B307" s="115" t="s">
        <v>294</v>
      </c>
      <c r="C307" s="114"/>
      <c r="D307" s="119" t="s">
        <v>293</v>
      </c>
      <c r="E307" s="125"/>
      <c r="F307" s="125"/>
      <c r="G307" s="125"/>
      <c r="H307" s="125"/>
      <c r="I307" s="125"/>
      <c r="J307" s="124"/>
      <c r="K307" s="108"/>
      <c r="L307" s="108"/>
      <c r="M307" s="108"/>
      <c r="N307" s="108"/>
      <c r="O307" s="111"/>
      <c r="P307" s="111"/>
      <c r="Q307" s="111"/>
      <c r="R307" s="111"/>
      <c r="S307" s="111"/>
      <c r="T307" s="111"/>
      <c r="U307" s="111"/>
    </row>
    <row r="308" spans="2:21">
      <c r="B308" s="115"/>
      <c r="C308" s="114"/>
      <c r="D308" s="119" t="s">
        <v>292</v>
      </c>
      <c r="E308" s="125"/>
      <c r="F308" s="125"/>
      <c r="G308" s="125"/>
      <c r="H308" s="125"/>
      <c r="I308" s="125"/>
      <c r="J308" s="124"/>
      <c r="K308" s="108"/>
      <c r="L308" s="108"/>
      <c r="M308" s="108"/>
      <c r="N308" s="108"/>
      <c r="O308" s="111"/>
      <c r="P308" s="111"/>
      <c r="Q308" s="111"/>
      <c r="R308" s="111"/>
      <c r="S308" s="111"/>
      <c r="T308" s="111"/>
      <c r="U308" s="111"/>
    </row>
    <row r="309" spans="2:21">
      <c r="B309" s="115"/>
      <c r="C309" s="114"/>
      <c r="D309" s="119" t="s">
        <v>291</v>
      </c>
      <c r="E309" s="125"/>
      <c r="F309" s="125"/>
      <c r="G309" s="125"/>
      <c r="H309" s="125"/>
      <c r="I309" s="125"/>
      <c r="J309" s="124"/>
      <c r="K309" s="108"/>
      <c r="L309" s="108"/>
      <c r="M309" s="108"/>
      <c r="N309" s="108"/>
      <c r="O309" s="111"/>
      <c r="P309" s="111"/>
      <c r="Q309" s="111"/>
      <c r="R309" s="111"/>
      <c r="S309" s="111"/>
      <c r="T309" s="111"/>
      <c r="U309" s="111"/>
    </row>
    <row r="310" spans="2:21">
      <c r="B310" s="115"/>
      <c r="C310" s="114"/>
      <c r="D310" s="119" t="s">
        <v>290</v>
      </c>
      <c r="E310" s="125"/>
      <c r="F310" s="125"/>
      <c r="G310" s="125"/>
      <c r="H310" s="125"/>
      <c r="I310" s="125"/>
      <c r="J310" s="124"/>
      <c r="K310" s="108"/>
      <c r="L310" s="108"/>
      <c r="M310" s="108"/>
      <c r="N310" s="108"/>
      <c r="O310" s="111"/>
      <c r="P310" s="111"/>
      <c r="Q310" s="111"/>
      <c r="R310" s="111"/>
      <c r="S310" s="111"/>
      <c r="T310" s="111"/>
      <c r="U310" s="111"/>
    </row>
    <row r="311" spans="2:21">
      <c r="B311" s="115"/>
      <c r="C311" s="114"/>
      <c r="D311" s="119" t="s">
        <v>289</v>
      </c>
      <c r="E311" s="125"/>
      <c r="F311" s="125"/>
      <c r="G311" s="125"/>
      <c r="H311" s="125"/>
      <c r="I311" s="125"/>
      <c r="J311" s="124"/>
      <c r="K311" s="108"/>
      <c r="L311" s="108"/>
      <c r="M311" s="108"/>
      <c r="N311" s="108"/>
      <c r="O311" s="111"/>
      <c r="P311" s="111"/>
      <c r="Q311" s="111"/>
      <c r="R311" s="111"/>
      <c r="S311" s="111"/>
      <c r="T311" s="111"/>
      <c r="U311" s="111"/>
    </row>
    <row r="312" spans="2:21">
      <c r="B312" s="115"/>
      <c r="C312" s="114"/>
      <c r="D312" s="119" t="str">
        <f>"(ln "&amp;B163&amp;") multiplied by (1/1-T) .  If the applicable tax rates are zero enter 0."</f>
        <v>(ln 95) multiplied by (1/1-T) .  If the applicable tax rates are zero enter 0.</v>
      </c>
      <c r="E312" s="125"/>
      <c r="F312" s="125"/>
      <c r="G312" s="125"/>
      <c r="H312" s="125"/>
      <c r="I312" s="125"/>
      <c r="J312" s="124"/>
      <c r="K312" s="108"/>
      <c r="L312" s="108"/>
      <c r="M312" s="108"/>
      <c r="N312" s="108"/>
      <c r="O312" s="111"/>
      <c r="P312" s="111"/>
      <c r="Q312" s="111"/>
      <c r="R312" s="111"/>
      <c r="S312" s="111"/>
      <c r="T312" s="111"/>
      <c r="U312" s="111"/>
    </row>
    <row r="313" spans="2:21">
      <c r="B313" s="115" t="s">
        <v>288</v>
      </c>
      <c r="C313" s="114"/>
      <c r="D313" s="119" t="s">
        <v>287</v>
      </c>
      <c r="E313" s="125" t="s">
        <v>286</v>
      </c>
      <c r="F313" s="127">
        <f>+'[3]OKT Historic TCOS'!F326</f>
        <v>0.35</v>
      </c>
      <c r="G313" s="125"/>
      <c r="I313" s="125"/>
      <c r="J313" s="124"/>
      <c r="K313" s="108"/>
      <c r="L313" s="108"/>
      <c r="M313" s="108"/>
      <c r="N313" s="108"/>
      <c r="O313" s="111"/>
      <c r="P313" s="111"/>
      <c r="Q313" s="111"/>
      <c r="R313" s="111"/>
      <c r="S313" s="111"/>
      <c r="T313" s="111"/>
      <c r="U313" s="111"/>
    </row>
    <row r="314" spans="2:21">
      <c r="B314" s="115"/>
      <c r="C314" s="114"/>
      <c r="D314" s="119"/>
      <c r="E314" s="125" t="s">
        <v>285</v>
      </c>
      <c r="F314" s="127">
        <f>+'[3]OKT WS K State Taxes'!F18</f>
        <v>5.6599999999999998E-2</v>
      </c>
      <c r="G314" s="125" t="s">
        <v>284</v>
      </c>
      <c r="I314" s="125"/>
      <c r="J314" s="124"/>
      <c r="K314" s="108"/>
      <c r="L314" s="108"/>
      <c r="M314" s="108"/>
      <c r="N314" s="108"/>
      <c r="O314" s="111"/>
      <c r="P314" s="111"/>
      <c r="Q314" s="111"/>
      <c r="R314" s="111"/>
      <c r="S314" s="111"/>
      <c r="T314" s="111"/>
      <c r="U314" s="111"/>
    </row>
    <row r="315" spans="2:21">
      <c r="B315" s="115"/>
      <c r="C315" s="114"/>
      <c r="D315" s="119"/>
      <c r="E315" s="125" t="s">
        <v>283</v>
      </c>
      <c r="F315" s="127">
        <f>+'[3]OKT Historic TCOS'!F328</f>
        <v>0</v>
      </c>
      <c r="G315" s="125" t="s">
        <v>282</v>
      </c>
      <c r="I315" s="125"/>
      <c r="J315" s="124"/>
      <c r="K315" s="108"/>
      <c r="L315" s="108"/>
      <c r="M315" s="108"/>
      <c r="N315" s="108"/>
      <c r="O315" s="111"/>
      <c r="P315" s="111"/>
      <c r="Q315" s="111"/>
      <c r="R315" s="111"/>
      <c r="S315" s="111"/>
      <c r="T315" s="111"/>
      <c r="U315" s="111"/>
    </row>
    <row r="316" spans="2:21">
      <c r="B316" s="115"/>
      <c r="C316" s="114"/>
      <c r="D316" s="119"/>
      <c r="E316" s="125"/>
      <c r="F316" s="127"/>
      <c r="G316" s="125"/>
      <c r="I316" s="125"/>
      <c r="J316" s="124"/>
      <c r="K316" s="108"/>
      <c r="L316" s="108"/>
      <c r="M316" s="108"/>
      <c r="N316" s="108"/>
      <c r="O316" s="111"/>
      <c r="P316" s="111"/>
      <c r="Q316" s="111"/>
      <c r="R316" s="111"/>
      <c r="S316" s="111"/>
      <c r="T316" s="111"/>
      <c r="U316" s="111"/>
    </row>
    <row r="317" spans="2:21">
      <c r="B317" s="115" t="s">
        <v>281</v>
      </c>
      <c r="C317" s="114"/>
      <c r="D317" s="119" t="s">
        <v>280</v>
      </c>
      <c r="E317" s="125"/>
      <c r="F317" s="125"/>
      <c r="G317" s="127"/>
      <c r="H317" s="125"/>
      <c r="I317" s="125"/>
      <c r="J317" s="124"/>
      <c r="K317" s="108"/>
      <c r="L317" s="108"/>
      <c r="M317" s="108"/>
      <c r="N317" s="108"/>
      <c r="O317" s="111"/>
      <c r="P317" s="111"/>
      <c r="Q317" s="111"/>
      <c r="R317" s="111"/>
      <c r="S317" s="111"/>
      <c r="T317" s="111"/>
      <c r="U317" s="111"/>
    </row>
    <row r="318" spans="2:21">
      <c r="B318" s="115"/>
      <c r="C318" s="114"/>
      <c r="D318" s="119" t="s">
        <v>279</v>
      </c>
      <c r="E318" s="125"/>
      <c r="F318" s="125"/>
      <c r="G318" s="127"/>
      <c r="H318" s="125"/>
      <c r="I318" s="125"/>
      <c r="J318" s="124"/>
      <c r="K318" s="108"/>
      <c r="L318" s="108"/>
      <c r="M318" s="108"/>
      <c r="N318" s="108"/>
      <c r="O318" s="111"/>
      <c r="P318" s="111"/>
      <c r="Q318" s="111"/>
      <c r="R318" s="111"/>
      <c r="S318" s="111"/>
      <c r="T318" s="111"/>
      <c r="U318" s="111"/>
    </row>
    <row r="319" spans="2:21">
      <c r="B319" s="115"/>
      <c r="C319" s="114"/>
      <c r="D319" s="119"/>
      <c r="E319" s="125"/>
      <c r="F319" s="125"/>
      <c r="G319" s="127"/>
      <c r="H319" s="125"/>
      <c r="I319" s="125"/>
      <c r="J319" s="124"/>
      <c r="K319" s="108"/>
      <c r="L319" s="108"/>
      <c r="M319" s="108"/>
      <c r="N319" s="108"/>
      <c r="O319" s="111"/>
      <c r="P319" s="111"/>
      <c r="Q319" s="111"/>
      <c r="R319" s="111"/>
      <c r="S319" s="111"/>
      <c r="T319" s="111"/>
      <c r="U319" s="111"/>
    </row>
    <row r="320" spans="2:21">
      <c r="B320" s="115" t="s">
        <v>278</v>
      </c>
      <c r="C320" s="114"/>
      <c r="D320" s="119" t="s">
        <v>277</v>
      </c>
      <c r="E320" s="120"/>
      <c r="F320" s="120"/>
      <c r="G320" s="120"/>
      <c r="H320" s="120"/>
      <c r="I320" s="120"/>
      <c r="J320" s="126"/>
      <c r="K320" s="108"/>
      <c r="L320" s="108"/>
      <c r="M320" s="108"/>
      <c r="N320" s="108"/>
      <c r="O320" s="111"/>
      <c r="P320" s="111"/>
      <c r="Q320" s="111"/>
      <c r="R320" s="111"/>
      <c r="S320" s="111"/>
      <c r="T320" s="111"/>
      <c r="U320" s="111"/>
    </row>
    <row r="321" spans="2:21">
      <c r="B321" s="104"/>
      <c r="D321" s="119"/>
      <c r="E321" s="120"/>
      <c r="F321" s="120"/>
      <c r="G321" s="120"/>
      <c r="H321" s="120"/>
      <c r="I321" s="120"/>
      <c r="J321" s="126"/>
      <c r="K321" s="108"/>
      <c r="L321" s="108"/>
      <c r="M321" s="108"/>
      <c r="N321" s="108"/>
      <c r="O321" s="111"/>
      <c r="P321" s="111"/>
      <c r="Q321" s="111"/>
      <c r="R321" s="111"/>
      <c r="S321" s="111"/>
      <c r="T321" s="111"/>
      <c r="U321" s="111"/>
    </row>
    <row r="322" spans="2:21">
      <c r="B322" s="115" t="s">
        <v>276</v>
      </c>
      <c r="C322" s="114"/>
      <c r="D322" s="119" t="s">
        <v>275</v>
      </c>
      <c r="E322" s="120"/>
      <c r="F322" s="120"/>
      <c r="G322" s="120"/>
      <c r="H322" s="120"/>
      <c r="I322" s="120"/>
      <c r="J322" s="126"/>
      <c r="K322" s="108"/>
      <c r="L322" s="108"/>
      <c r="M322" s="108"/>
      <c r="N322" s="108"/>
      <c r="O322" s="111"/>
      <c r="P322" s="111"/>
      <c r="Q322" s="111"/>
      <c r="R322" s="111"/>
      <c r="S322" s="111"/>
      <c r="T322" s="111"/>
      <c r="U322" s="111"/>
    </row>
    <row r="323" spans="2:21">
      <c r="B323" s="115"/>
      <c r="C323" s="114"/>
      <c r="D323" s="119"/>
      <c r="E323" s="125"/>
      <c r="F323" s="125"/>
      <c r="G323" s="125"/>
      <c r="H323" s="125"/>
      <c r="I323" s="125"/>
      <c r="J323" s="124"/>
      <c r="K323" s="108"/>
      <c r="L323" s="108"/>
      <c r="M323" s="108"/>
      <c r="N323" s="108"/>
      <c r="O323" s="111"/>
      <c r="P323" s="111"/>
      <c r="Q323" s="111"/>
      <c r="R323" s="111"/>
      <c r="S323" s="111"/>
      <c r="T323" s="111"/>
      <c r="U323" s="111"/>
    </row>
    <row r="324" spans="2:21">
      <c r="B324" s="115" t="s">
        <v>274</v>
      </c>
      <c r="C324" s="114"/>
      <c r="D324" s="119" t="s">
        <v>273</v>
      </c>
      <c r="E324" s="125"/>
      <c r="F324" s="125"/>
      <c r="G324" s="125"/>
      <c r="H324" s="125"/>
      <c r="I324" s="125"/>
      <c r="J324" s="124"/>
      <c r="K324" s="108"/>
      <c r="L324" s="108"/>
      <c r="M324" s="108"/>
      <c r="N324" s="108"/>
      <c r="O324" s="111"/>
      <c r="P324" s="111"/>
      <c r="Q324" s="111"/>
      <c r="R324" s="111"/>
      <c r="S324" s="111"/>
      <c r="T324" s="111"/>
      <c r="U324" s="111"/>
    </row>
    <row r="325" spans="2:21">
      <c r="B325" s="115"/>
      <c r="C325" s="114"/>
      <c r="D325" s="119"/>
      <c r="E325" s="125"/>
      <c r="F325" s="125"/>
      <c r="G325" s="125"/>
      <c r="H325" s="125"/>
      <c r="I325" s="125"/>
      <c r="J325" s="124"/>
      <c r="K325" s="108"/>
      <c r="L325" s="108"/>
      <c r="M325" s="108"/>
      <c r="N325" s="108"/>
      <c r="O325" s="111"/>
      <c r="P325" s="111"/>
      <c r="Q325" s="111"/>
      <c r="R325" s="111"/>
      <c r="S325" s="111"/>
      <c r="T325" s="111"/>
      <c r="U325" s="111"/>
    </row>
    <row r="326" spans="2:21">
      <c r="B326" s="123" t="s">
        <v>272</v>
      </c>
      <c r="C326" s="122"/>
      <c r="D326" s="478" t="str">
        <f>"The Capital Structure of "&amp;F7&amp;" will be based on the Capital Structure of PSO until "&amp;F7&amp;" establishes a stand alond capital structure computed on Worksheet M for the Projected TCOS or Worksheet N for the True-up TCOS."</f>
        <v>The Capital Structure of AEP OKLAHOMA TRANSMISSION COMPANY, INC will be based on the Capital Structure of PSO until AEP OKLAHOMA TRANSMISSION COMPANY, INC establishes a stand alond capital structure computed on Worksheet M for the Projected TCOS or Worksheet N for the True-up TCOS.</v>
      </c>
      <c r="E326" s="478"/>
      <c r="F326" s="478"/>
      <c r="G326" s="478"/>
      <c r="H326" s="478"/>
      <c r="I326" s="478"/>
      <c r="J326" s="478"/>
      <c r="K326" s="478"/>
      <c r="L326" s="478"/>
      <c r="M326" s="108"/>
      <c r="N326" s="108"/>
      <c r="O326" s="111"/>
      <c r="P326" s="111"/>
      <c r="Q326" s="111"/>
      <c r="R326" s="111"/>
      <c r="S326" s="111"/>
      <c r="T326" s="111"/>
      <c r="U326" s="111"/>
    </row>
    <row r="327" spans="2:21">
      <c r="B327" s="121"/>
      <c r="C327" s="120"/>
      <c r="D327" s="478"/>
      <c r="E327" s="478"/>
      <c r="F327" s="478"/>
      <c r="G327" s="478"/>
      <c r="H327" s="478"/>
      <c r="I327" s="478"/>
      <c r="J327" s="478"/>
      <c r="K327" s="478"/>
      <c r="L327" s="478"/>
      <c r="M327" s="108"/>
      <c r="N327" s="108"/>
      <c r="O327" s="111"/>
      <c r="P327" s="111"/>
      <c r="Q327" s="111"/>
      <c r="R327" s="111"/>
      <c r="S327" s="111"/>
      <c r="T327" s="111"/>
      <c r="U327" s="111"/>
    </row>
    <row r="328" spans="2:21" ht="15" customHeight="1">
      <c r="B328" s="121"/>
      <c r="C328" s="120"/>
      <c r="D328" s="119" t="str">
        <f>"Long Term Debt cost rate = long-term interest (ln "&amp;B234&amp;") / long term debt (ln "&amp;B244&amp;").  Preferred Stock cost rate = preferred dividends (ln "&amp;B235&amp;") / preferred outstanding (ln "&amp;B245&amp;")."</f>
        <v>Long Term Debt cost rate = long-term interest (ln 139) / long term debt (ln 148).  Preferred Stock cost rate = preferred dividends (ln 140) / preferred outstanding (ln 149).</v>
      </c>
      <c r="M328" s="108"/>
      <c r="N328" s="108"/>
      <c r="O328" s="111"/>
      <c r="P328" s="111"/>
      <c r="Q328" s="111"/>
      <c r="R328" s="111"/>
      <c r="S328" s="111"/>
      <c r="T328" s="111"/>
      <c r="U328" s="111"/>
    </row>
    <row r="329" spans="2:21">
      <c r="B329" s="121"/>
      <c r="C329" s="120"/>
      <c r="D329" s="119" t="str">
        <f>"Common Stock cost rate (ROE) = "&amp;J246*100&amp;"%, the rate accepted by FERC in Docket Nos. ER07-1069 and ER10-355.  It includes an additional 50 basis points for remaining a member of the SPP RTO."</f>
        <v>Common Stock cost rate (ROE) = 11.2%, the rate accepted by FERC in Docket Nos. ER07-1069 and ER10-355.  It includes an additional 50 basis points for remaining a member of the SPP RTO.</v>
      </c>
      <c r="M329" s="108"/>
      <c r="N329" s="108"/>
      <c r="O329" s="111"/>
      <c r="P329" s="111"/>
      <c r="Q329" s="111"/>
      <c r="R329" s="111"/>
      <c r="S329" s="111"/>
      <c r="T329" s="111"/>
      <c r="U329" s="111"/>
    </row>
    <row r="330" spans="2:21">
      <c r="B330" s="121"/>
      <c r="C330" s="120"/>
      <c r="D330" s="119"/>
      <c r="J330" s="118"/>
      <c r="M330" s="108"/>
      <c r="N330" s="108"/>
      <c r="O330" s="111"/>
      <c r="P330" s="111"/>
      <c r="Q330" s="111"/>
      <c r="R330" s="111"/>
      <c r="S330" s="111"/>
      <c r="T330" s="111"/>
      <c r="U330" s="111"/>
    </row>
    <row r="331" spans="2:21" ht="15" customHeight="1">
      <c r="B331" s="117" t="s">
        <v>271</v>
      </c>
      <c r="C331" s="114"/>
      <c r="D331" s="473" t="str">
        <f>"Per Settlement, equity is limited to "&amp;E230*100&amp;"% of "&amp;F7&amp;"'s Capital Structure.  If the percentage of equity exceeds the cap, the excess is included in long term debt in the cap structure. This value can only change via an approved 205 or 206 filing. "</f>
        <v xml:space="preserve">Per Settlement, equity is limited to 50% of AEP OKLAHOMA TRANSMISSION COMPANY, INC's Capital Structure.  If the percentage of equity exceeds the cap, the excess is included in long term debt in the cap structure. This value can only change via an approved 205 or 206 filing. </v>
      </c>
      <c r="E331" s="474"/>
      <c r="F331" s="474"/>
      <c r="G331" s="474"/>
      <c r="H331" s="474"/>
      <c r="I331" s="474"/>
      <c r="J331" s="474"/>
      <c r="K331" s="474"/>
      <c r="L331" s="474"/>
      <c r="M331" s="108"/>
      <c r="N331" s="108"/>
      <c r="O331" s="111"/>
      <c r="P331" s="111"/>
      <c r="Q331" s="111"/>
      <c r="R331" s="111"/>
      <c r="S331" s="111"/>
      <c r="T331" s="111"/>
      <c r="U331" s="111"/>
    </row>
    <row r="332" spans="2:21">
      <c r="B332" s="115"/>
      <c r="C332" s="114"/>
      <c r="D332" s="474"/>
      <c r="E332" s="474"/>
      <c r="F332" s="474"/>
      <c r="G332" s="474"/>
      <c r="H332" s="474"/>
      <c r="I332" s="474"/>
      <c r="J332" s="474"/>
      <c r="K332" s="474"/>
      <c r="L332" s="474"/>
      <c r="M332" s="108"/>
      <c r="N332" s="108"/>
      <c r="O332" s="111"/>
      <c r="P332" s="111"/>
      <c r="Q332" s="111"/>
      <c r="R332" s="111"/>
      <c r="S332" s="111"/>
      <c r="T332" s="111"/>
      <c r="U332" s="111"/>
    </row>
    <row r="333" spans="2:21">
      <c r="B333" s="115"/>
      <c r="C333" s="114"/>
      <c r="M333" s="108"/>
      <c r="N333" s="108"/>
      <c r="O333" s="111"/>
      <c r="P333" s="111"/>
      <c r="Q333" s="111"/>
      <c r="R333" s="111"/>
      <c r="S333" s="111"/>
      <c r="T333" s="111"/>
      <c r="U333" s="111"/>
    </row>
    <row r="334" spans="2:21">
      <c r="B334" s="115"/>
      <c r="C334" s="114"/>
      <c r="M334" s="108"/>
      <c r="N334" s="108"/>
      <c r="O334" s="111"/>
      <c r="P334" s="111"/>
      <c r="Q334" s="111"/>
      <c r="R334" s="111"/>
      <c r="S334" s="111"/>
      <c r="T334" s="111"/>
      <c r="U334" s="111"/>
    </row>
    <row r="335" spans="2:21">
      <c r="B335" s="115"/>
      <c r="C335" s="114"/>
      <c r="M335" s="108"/>
      <c r="N335" s="108"/>
      <c r="O335" s="111"/>
      <c r="P335" s="111"/>
      <c r="Q335" s="111"/>
      <c r="R335" s="111"/>
      <c r="S335" s="111"/>
      <c r="T335" s="111"/>
      <c r="U335" s="111"/>
    </row>
    <row r="336" spans="2:21">
      <c r="B336" s="116"/>
      <c r="C336" s="116"/>
      <c r="D336" s="116"/>
      <c r="E336" s="116"/>
      <c r="F336" s="116"/>
      <c r="G336" s="116"/>
      <c r="H336" s="116"/>
      <c r="M336" s="108"/>
      <c r="N336" s="108"/>
      <c r="O336" s="111"/>
      <c r="P336" s="111"/>
      <c r="Q336" s="111"/>
      <c r="R336" s="111"/>
      <c r="S336" s="111"/>
      <c r="T336" s="111"/>
      <c r="U336" s="111"/>
    </row>
    <row r="337" spans="2:21">
      <c r="B337" s="108"/>
      <c r="C337" s="108"/>
      <c r="D337" s="108"/>
      <c r="E337" s="108"/>
      <c r="F337" s="108"/>
      <c r="G337" s="108"/>
      <c r="H337" s="108"/>
      <c r="M337" s="108"/>
      <c r="N337" s="108"/>
      <c r="O337" s="111"/>
      <c r="P337" s="111"/>
      <c r="Q337" s="111"/>
      <c r="R337" s="111"/>
      <c r="S337" s="111"/>
      <c r="T337" s="111"/>
      <c r="U337" s="111"/>
    </row>
    <row r="338" spans="2:21">
      <c r="B338" s="108"/>
      <c r="C338" s="108"/>
      <c r="M338" s="108"/>
      <c r="N338" s="108"/>
      <c r="O338" s="111"/>
      <c r="P338" s="111"/>
      <c r="Q338" s="111"/>
      <c r="R338" s="111"/>
      <c r="S338" s="111"/>
      <c r="T338" s="111"/>
      <c r="U338" s="111"/>
    </row>
    <row r="339" spans="2:21">
      <c r="B339" s="108"/>
      <c r="C339" s="108"/>
      <c r="M339" s="108"/>
      <c r="N339" s="108"/>
      <c r="O339" s="111"/>
      <c r="P339" s="111"/>
      <c r="Q339" s="111"/>
      <c r="R339" s="111"/>
      <c r="S339" s="111"/>
      <c r="T339" s="111"/>
      <c r="U339" s="111"/>
    </row>
    <row r="340" spans="2:21">
      <c r="B340" s="108"/>
      <c r="C340" s="108"/>
      <c r="D340" s="108"/>
      <c r="E340" s="108"/>
      <c r="F340" s="108"/>
      <c r="G340" s="108"/>
      <c r="H340" s="108"/>
      <c r="M340" s="108"/>
      <c r="N340" s="108"/>
      <c r="O340" s="111"/>
      <c r="P340" s="111"/>
      <c r="Q340" s="111"/>
      <c r="R340" s="111"/>
      <c r="S340" s="111"/>
      <c r="T340" s="111"/>
      <c r="U340" s="111"/>
    </row>
    <row r="341" spans="2:21">
      <c r="B341" s="108"/>
      <c r="C341" s="108"/>
      <c r="D341" s="108"/>
      <c r="E341" s="108"/>
      <c r="F341" s="108"/>
      <c r="G341" s="108"/>
      <c r="H341" s="108"/>
      <c r="M341" s="108"/>
      <c r="N341" s="108"/>
      <c r="O341" s="111"/>
      <c r="P341" s="111"/>
      <c r="Q341" s="111"/>
      <c r="R341" s="111"/>
      <c r="S341" s="111"/>
      <c r="T341" s="111"/>
      <c r="U341" s="111"/>
    </row>
    <row r="342" spans="2:21">
      <c r="B342" s="108"/>
      <c r="C342" s="108"/>
      <c r="D342" s="108"/>
      <c r="E342" s="108"/>
      <c r="F342" s="108"/>
      <c r="G342" s="108"/>
      <c r="H342" s="108"/>
      <c r="M342" s="108"/>
      <c r="N342" s="108"/>
      <c r="O342" s="111"/>
      <c r="P342" s="111"/>
      <c r="Q342" s="111"/>
      <c r="R342" s="111"/>
      <c r="S342" s="111"/>
      <c r="T342" s="111"/>
      <c r="U342" s="111"/>
    </row>
    <row r="343" spans="2:21">
      <c r="B343" s="108"/>
      <c r="C343" s="108"/>
      <c r="D343" s="108"/>
      <c r="E343" s="108"/>
      <c r="F343" s="108"/>
      <c r="G343" s="108"/>
      <c r="H343" s="108"/>
      <c r="M343" s="108"/>
      <c r="N343" s="108"/>
      <c r="O343" s="111"/>
      <c r="P343" s="111"/>
      <c r="Q343" s="111"/>
      <c r="R343" s="111"/>
      <c r="S343" s="111"/>
      <c r="T343" s="111"/>
      <c r="U343" s="111"/>
    </row>
    <row r="344" spans="2:21">
      <c r="B344" s="108"/>
      <c r="C344" s="108"/>
      <c r="D344" s="108"/>
      <c r="E344" s="108"/>
      <c r="F344" s="108"/>
      <c r="G344" s="108"/>
      <c r="H344" s="108"/>
      <c r="M344" s="108"/>
      <c r="N344" s="108"/>
      <c r="O344" s="111"/>
      <c r="P344" s="111"/>
      <c r="Q344" s="111"/>
      <c r="R344" s="111"/>
      <c r="S344" s="111"/>
      <c r="T344" s="111"/>
      <c r="U344" s="111"/>
    </row>
    <row r="345" spans="2:21">
      <c r="B345" s="108"/>
      <c r="C345" s="108"/>
      <c r="D345" s="108"/>
      <c r="E345" s="108"/>
      <c r="F345" s="108"/>
      <c r="G345" s="108"/>
      <c r="H345" s="108"/>
      <c r="M345" s="108"/>
      <c r="N345" s="108"/>
      <c r="O345" s="111"/>
      <c r="P345" s="111"/>
      <c r="Q345" s="111"/>
      <c r="R345" s="111"/>
      <c r="S345" s="111"/>
      <c r="T345" s="111"/>
      <c r="U345" s="111"/>
    </row>
    <row r="346" spans="2:21">
      <c r="B346" s="108"/>
      <c r="C346" s="108"/>
      <c r="D346" s="108"/>
      <c r="E346" s="108"/>
      <c r="F346" s="108"/>
      <c r="G346" s="108"/>
      <c r="H346" s="108"/>
      <c r="M346" s="108"/>
      <c r="N346" s="108"/>
      <c r="O346" s="111"/>
      <c r="P346" s="111"/>
      <c r="Q346" s="111"/>
      <c r="R346" s="111"/>
      <c r="S346" s="111"/>
      <c r="T346" s="111"/>
      <c r="U346" s="111"/>
    </row>
    <row r="347" spans="2:21">
      <c r="B347" s="115"/>
      <c r="C347" s="114"/>
      <c r="M347" s="108"/>
      <c r="N347" s="108"/>
      <c r="O347" s="111"/>
      <c r="P347" s="111"/>
      <c r="Q347" s="111"/>
      <c r="R347" s="111"/>
      <c r="S347" s="111"/>
      <c r="T347" s="111"/>
      <c r="U347" s="111"/>
    </row>
    <row r="348" spans="2:21">
      <c r="B348" s="104"/>
      <c r="M348" s="108"/>
      <c r="N348" s="108"/>
      <c r="O348" s="111"/>
      <c r="P348" s="111"/>
      <c r="Q348" s="111"/>
      <c r="R348" s="111"/>
      <c r="S348" s="111"/>
      <c r="T348" s="111"/>
      <c r="U348" s="111"/>
    </row>
    <row r="349" spans="2:21">
      <c r="B349" s="104"/>
      <c r="M349" s="108"/>
      <c r="N349" s="108"/>
      <c r="O349" s="111"/>
      <c r="P349" s="111"/>
      <c r="Q349" s="111"/>
      <c r="R349" s="111"/>
      <c r="S349" s="111"/>
      <c r="T349" s="111"/>
      <c r="U349" s="111"/>
    </row>
    <row r="350" spans="2:21">
      <c r="B350" s="104"/>
      <c r="M350" s="108"/>
      <c r="N350" s="108"/>
      <c r="O350" s="111"/>
      <c r="P350" s="111"/>
      <c r="Q350" s="111"/>
      <c r="R350" s="111"/>
      <c r="S350" s="111"/>
      <c r="T350" s="111"/>
      <c r="U350" s="111"/>
    </row>
    <row r="351" spans="2:21">
      <c r="B351" s="104"/>
      <c r="H351" s="111"/>
      <c r="I351" s="111"/>
      <c r="J351" s="111"/>
      <c r="K351" s="111"/>
      <c r="L351" s="111"/>
      <c r="M351" s="108"/>
      <c r="N351" s="108"/>
      <c r="O351" s="111"/>
      <c r="P351" s="111"/>
      <c r="Q351" s="111"/>
      <c r="R351" s="111"/>
      <c r="S351" s="111"/>
      <c r="T351" s="111"/>
      <c r="U351" s="111"/>
    </row>
    <row r="352" spans="2:21">
      <c r="B352" s="104"/>
      <c r="H352" s="111"/>
      <c r="K352" s="111"/>
      <c r="L352" s="111"/>
      <c r="M352" s="108"/>
      <c r="N352" s="108"/>
      <c r="O352" s="111"/>
      <c r="P352" s="111"/>
      <c r="Q352" s="111"/>
      <c r="R352" s="111"/>
      <c r="S352" s="111"/>
      <c r="T352" s="111"/>
      <c r="U352" s="111"/>
    </row>
    <row r="353" spans="2:21">
      <c r="B353" s="104"/>
      <c r="H353" s="111"/>
      <c r="I353" s="111" t="s">
        <v>270</v>
      </c>
      <c r="J353" s="109"/>
      <c r="K353" s="111"/>
      <c r="L353" s="111"/>
      <c r="M353" s="108"/>
      <c r="N353" s="108"/>
      <c r="O353" s="111"/>
      <c r="P353" s="111"/>
      <c r="Q353" s="111"/>
      <c r="R353" s="111"/>
      <c r="S353" s="111"/>
      <c r="T353" s="111"/>
      <c r="U353" s="111"/>
    </row>
    <row r="354" spans="2:21">
      <c r="B354" s="104"/>
      <c r="H354" s="111"/>
      <c r="I354" s="110" t="s">
        <v>269</v>
      </c>
      <c r="J354" s="109">
        <v>1</v>
      </c>
      <c r="K354" s="111"/>
      <c r="L354" s="111"/>
      <c r="M354" s="108"/>
      <c r="N354" s="108"/>
      <c r="O354" s="111"/>
      <c r="P354" s="111"/>
      <c r="Q354" s="111"/>
      <c r="R354" s="111"/>
      <c r="S354" s="111"/>
      <c r="T354" s="111"/>
      <c r="U354" s="111"/>
    </row>
    <row r="355" spans="2:21">
      <c r="B355" s="104"/>
      <c r="H355" s="111"/>
      <c r="I355" s="110" t="s">
        <v>268</v>
      </c>
      <c r="J355" s="109">
        <f>+$J$63</f>
        <v>0.95849358162549603</v>
      </c>
      <c r="K355" s="111"/>
      <c r="L355" s="111"/>
      <c r="M355" s="108"/>
      <c r="N355" s="108"/>
      <c r="O355" s="111"/>
      <c r="P355" s="111"/>
      <c r="Q355" s="111"/>
      <c r="R355" s="111"/>
      <c r="S355" s="111"/>
      <c r="T355" s="111"/>
      <c r="U355" s="111"/>
    </row>
    <row r="356" spans="2:21">
      <c r="B356" s="104"/>
      <c r="H356" s="111"/>
      <c r="I356" s="110" t="s">
        <v>267</v>
      </c>
      <c r="J356" s="109">
        <f>'OKT 2014 True-Up TCOS'!$J$64</f>
        <v>1</v>
      </c>
      <c r="K356" s="111"/>
      <c r="L356" s="111"/>
      <c r="M356" s="108"/>
      <c r="N356" s="108"/>
      <c r="O356" s="111"/>
      <c r="P356" s="111"/>
      <c r="Q356" s="111"/>
      <c r="R356" s="111"/>
      <c r="S356" s="111"/>
      <c r="T356" s="111"/>
      <c r="U356" s="111"/>
    </row>
    <row r="357" spans="2:21">
      <c r="B357" s="112"/>
      <c r="C357" s="111"/>
      <c r="D357" s="111"/>
      <c r="E357" s="111"/>
      <c r="F357" s="111"/>
      <c r="G357" s="111"/>
      <c r="H357" s="111"/>
      <c r="I357" s="110" t="s">
        <v>266</v>
      </c>
      <c r="J357" s="113">
        <v>0</v>
      </c>
      <c r="K357" s="111"/>
      <c r="L357" s="111"/>
      <c r="M357" s="108"/>
      <c r="N357" s="108"/>
      <c r="O357" s="111"/>
      <c r="P357" s="111"/>
      <c r="Q357" s="111"/>
      <c r="R357" s="111"/>
      <c r="S357" s="111"/>
      <c r="T357" s="111"/>
      <c r="U357" s="111"/>
    </row>
    <row r="358" spans="2:21">
      <c r="B358" s="112"/>
      <c r="C358" s="111"/>
      <c r="D358" s="111"/>
      <c r="E358" s="111"/>
      <c r="F358" s="111"/>
      <c r="G358" s="111"/>
      <c r="H358" s="111"/>
      <c r="I358" s="110" t="s">
        <v>265</v>
      </c>
      <c r="J358" s="109">
        <f>$J$83</f>
        <v>0.95755638425818479</v>
      </c>
      <c r="K358" s="111"/>
      <c r="L358" s="111"/>
      <c r="M358" s="108"/>
      <c r="N358" s="108"/>
      <c r="O358" s="111"/>
      <c r="P358" s="111"/>
      <c r="Q358" s="111"/>
      <c r="R358" s="111"/>
      <c r="S358" s="111"/>
      <c r="T358" s="111"/>
      <c r="U358" s="111"/>
    </row>
    <row r="359" spans="2:21">
      <c r="B359" s="112"/>
      <c r="C359" s="111"/>
      <c r="D359" s="111"/>
      <c r="E359" s="111"/>
      <c r="F359" s="111"/>
      <c r="G359" s="111"/>
      <c r="H359" s="111"/>
      <c r="I359" s="110" t="s">
        <v>264</v>
      </c>
      <c r="J359" s="109">
        <f>$L$201</f>
        <v>0.95849358162549603</v>
      </c>
      <c r="K359" s="111"/>
      <c r="L359" s="111"/>
      <c r="M359" s="108"/>
      <c r="N359" s="108"/>
      <c r="O359" s="111"/>
      <c r="P359" s="111"/>
      <c r="Q359" s="111"/>
      <c r="R359" s="111"/>
      <c r="S359" s="111"/>
      <c r="T359" s="111"/>
      <c r="U359" s="111"/>
    </row>
    <row r="360" spans="2:21">
      <c r="B360" s="107"/>
      <c r="C360" s="105"/>
      <c r="D360" s="105"/>
      <c r="E360" s="105"/>
      <c r="F360" s="105"/>
      <c r="G360" s="105"/>
      <c r="H360" s="105"/>
      <c r="I360" s="110" t="s">
        <v>263</v>
      </c>
      <c r="J360" s="109">
        <f>$J$68</f>
        <v>1</v>
      </c>
      <c r="K360" s="105"/>
      <c r="L360" s="105"/>
      <c r="M360" s="108"/>
      <c r="N360" s="108"/>
    </row>
    <row r="361" spans="2:21">
      <c r="B361" s="107"/>
      <c r="C361" s="105"/>
      <c r="D361" s="105"/>
      <c r="E361" s="105"/>
      <c r="F361" s="105"/>
      <c r="G361" s="105"/>
      <c r="H361" s="105"/>
      <c r="I361" s="110" t="s">
        <v>262</v>
      </c>
      <c r="J361" s="109">
        <f>$L$211</f>
        <v>0.95849358162549603</v>
      </c>
      <c r="K361" s="105"/>
      <c r="L361" s="105"/>
      <c r="M361" s="108"/>
      <c r="N361" s="108"/>
    </row>
    <row r="362" spans="2:21">
      <c r="B362" s="107"/>
      <c r="C362" s="105"/>
      <c r="D362" s="105"/>
      <c r="E362" s="105"/>
      <c r="F362" s="105"/>
      <c r="G362" s="105"/>
      <c r="H362" s="105"/>
      <c r="I362" s="105"/>
      <c r="J362" s="105"/>
      <c r="K362" s="105"/>
      <c r="L362" s="105"/>
      <c r="M362" s="108"/>
      <c r="N362" s="108"/>
    </row>
    <row r="363" spans="2:21">
      <c r="B363" s="107"/>
      <c r="C363" s="105"/>
      <c r="D363" s="105"/>
      <c r="E363" s="105"/>
      <c r="F363" s="105"/>
      <c r="G363" s="105"/>
      <c r="H363" s="105"/>
      <c r="I363" s="105"/>
      <c r="J363" s="105"/>
      <c r="K363" s="105"/>
      <c r="L363" s="105"/>
      <c r="M363" s="108"/>
      <c r="N363" s="108"/>
    </row>
    <row r="364" spans="2:21">
      <c r="B364" s="107"/>
      <c r="C364" s="105"/>
      <c r="D364" s="105"/>
      <c r="E364" s="105"/>
      <c r="F364" s="105"/>
      <c r="G364" s="105"/>
      <c r="H364" s="105"/>
      <c r="I364" s="105"/>
      <c r="J364" s="105"/>
      <c r="K364" s="105"/>
      <c r="L364" s="105"/>
      <c r="M364" s="108"/>
      <c r="N364" s="108"/>
    </row>
    <row r="365" spans="2:21">
      <c r="B365" s="107"/>
      <c r="C365" s="105"/>
      <c r="D365" s="105"/>
      <c r="E365" s="105"/>
      <c r="F365" s="105"/>
      <c r="G365" s="105"/>
      <c r="H365" s="105"/>
      <c r="I365" s="105"/>
      <c r="J365" s="105"/>
      <c r="K365" s="105"/>
      <c r="L365" s="105"/>
      <c r="M365" s="108"/>
      <c r="N365" s="108"/>
    </row>
    <row r="366" spans="2:21">
      <c r="B366" s="107"/>
      <c r="C366" s="105"/>
      <c r="D366" s="105"/>
      <c r="E366" s="105"/>
      <c r="F366" s="105"/>
      <c r="G366" s="105"/>
      <c r="H366" s="105"/>
      <c r="I366" s="105"/>
      <c r="J366" s="105"/>
      <c r="K366" s="105"/>
      <c r="L366" s="105"/>
      <c r="M366" s="108"/>
      <c r="N366" s="108"/>
    </row>
    <row r="367" spans="2:21">
      <c r="B367" s="107"/>
      <c r="C367" s="105"/>
      <c r="D367" s="105"/>
      <c r="E367" s="105"/>
      <c r="F367" s="105"/>
      <c r="G367" s="105"/>
      <c r="H367" s="105"/>
      <c r="I367" s="105"/>
      <c r="J367" s="105"/>
      <c r="K367" s="105"/>
      <c r="L367" s="105"/>
      <c r="M367" s="108"/>
      <c r="N367" s="108"/>
    </row>
    <row r="368" spans="2:21">
      <c r="B368" s="107"/>
      <c r="C368" s="105"/>
      <c r="D368" s="105"/>
      <c r="E368" s="105"/>
      <c r="F368" s="105"/>
      <c r="G368" s="105"/>
      <c r="H368" s="105"/>
      <c r="I368" s="105"/>
      <c r="J368" s="105"/>
      <c r="K368" s="105"/>
      <c r="L368" s="105"/>
      <c r="M368" s="108"/>
      <c r="N368" s="108"/>
    </row>
    <row r="369" spans="2:14">
      <c r="B369" s="107"/>
      <c r="C369" s="105"/>
      <c r="D369" s="105"/>
      <c r="E369" s="105"/>
      <c r="F369" s="105"/>
      <c r="G369" s="105"/>
      <c r="H369" s="105"/>
      <c r="I369" s="105"/>
      <c r="J369" s="105"/>
      <c r="K369" s="105"/>
      <c r="L369" s="105"/>
      <c r="M369" s="108"/>
      <c r="N369" s="108"/>
    </row>
    <row r="370" spans="2:14">
      <c r="B370" s="107"/>
      <c r="C370" s="105"/>
      <c r="D370" s="105"/>
      <c r="E370" s="105"/>
      <c r="F370" s="105"/>
      <c r="G370" s="105"/>
      <c r="H370" s="105"/>
      <c r="I370" s="105"/>
      <c r="J370" s="105"/>
      <c r="K370" s="105"/>
      <c r="L370" s="105"/>
      <c r="M370" s="108"/>
      <c r="N370" s="108"/>
    </row>
    <row r="371" spans="2:14">
      <c r="B371" s="107"/>
      <c r="C371" s="105"/>
      <c r="D371" s="105"/>
      <c r="E371" s="105"/>
      <c r="F371" s="105"/>
      <c r="G371" s="105"/>
      <c r="H371" s="105"/>
      <c r="I371" s="105"/>
      <c r="J371" s="105"/>
      <c r="K371" s="105"/>
      <c r="L371" s="105"/>
      <c r="M371" s="108"/>
      <c r="N371" s="108"/>
    </row>
    <row r="372" spans="2:14">
      <c r="B372" s="107"/>
      <c r="C372" s="105"/>
      <c r="D372" s="105"/>
      <c r="E372" s="105"/>
      <c r="F372" s="105"/>
      <c r="G372" s="105"/>
      <c r="H372" s="105"/>
      <c r="I372" s="105"/>
      <c r="J372" s="105"/>
      <c r="K372" s="105"/>
      <c r="L372" s="105"/>
      <c r="M372" s="108"/>
      <c r="N372" s="108"/>
    </row>
    <row r="373" spans="2:14">
      <c r="B373" s="107"/>
      <c r="C373" s="105"/>
      <c r="D373" s="105"/>
      <c r="E373" s="105"/>
      <c r="F373" s="105"/>
      <c r="G373" s="105"/>
      <c r="H373" s="105"/>
      <c r="I373" s="105"/>
      <c r="J373" s="105"/>
      <c r="K373" s="105"/>
      <c r="L373" s="105"/>
      <c r="M373" s="108"/>
      <c r="N373" s="108"/>
    </row>
    <row r="374" spans="2:14">
      <c r="B374" s="107"/>
      <c r="C374" s="105"/>
      <c r="D374" s="105"/>
      <c r="E374" s="105"/>
      <c r="F374" s="105"/>
      <c r="G374" s="105"/>
      <c r="H374" s="105"/>
      <c r="I374" s="105"/>
      <c r="J374" s="105"/>
      <c r="K374" s="105"/>
      <c r="L374" s="105"/>
      <c r="M374" s="108"/>
      <c r="N374" s="108"/>
    </row>
    <row r="375" spans="2:14">
      <c r="B375" s="107"/>
      <c r="C375" s="105"/>
      <c r="D375" s="105"/>
      <c r="E375" s="105"/>
      <c r="F375" s="105"/>
      <c r="G375" s="105"/>
      <c r="H375" s="105"/>
      <c r="I375" s="105"/>
      <c r="J375" s="105"/>
      <c r="K375" s="105"/>
      <c r="L375" s="105"/>
      <c r="M375" s="108"/>
      <c r="N375" s="108"/>
    </row>
    <row r="376" spans="2:14">
      <c r="B376" s="107"/>
      <c r="C376" s="105"/>
      <c r="D376" s="105"/>
      <c r="E376" s="105"/>
      <c r="F376" s="105"/>
      <c r="G376" s="105"/>
      <c r="H376" s="105"/>
      <c r="I376" s="105"/>
      <c r="J376" s="105"/>
      <c r="K376" s="105"/>
      <c r="L376" s="105"/>
      <c r="M376" s="108"/>
      <c r="N376" s="108"/>
    </row>
    <row r="377" spans="2:14">
      <c r="B377" s="107"/>
      <c r="C377" s="105"/>
      <c r="D377" s="105"/>
      <c r="E377" s="105"/>
      <c r="F377" s="105"/>
      <c r="G377" s="105"/>
      <c r="H377" s="105"/>
      <c r="I377" s="105"/>
      <c r="J377" s="105"/>
      <c r="K377" s="105"/>
      <c r="L377" s="105"/>
      <c r="M377" s="108"/>
      <c r="N377" s="108"/>
    </row>
    <row r="378" spans="2:14">
      <c r="B378" s="107"/>
      <c r="C378" s="105"/>
      <c r="D378" s="105"/>
      <c r="E378" s="105"/>
      <c r="F378" s="105"/>
      <c r="G378" s="105"/>
      <c r="H378" s="105"/>
      <c r="I378" s="105"/>
      <c r="J378" s="105"/>
      <c r="K378" s="105"/>
      <c r="L378" s="105"/>
      <c r="M378" s="108"/>
      <c r="N378" s="108"/>
    </row>
    <row r="379" spans="2:14">
      <c r="B379" s="107"/>
      <c r="C379" s="105"/>
      <c r="D379" s="105"/>
      <c r="E379" s="105"/>
      <c r="F379" s="105"/>
      <c r="G379" s="105"/>
      <c r="H379" s="105"/>
      <c r="I379" s="105"/>
      <c r="J379" s="105"/>
      <c r="K379" s="105"/>
      <c r="L379" s="105"/>
      <c r="M379" s="108"/>
      <c r="N379" s="108"/>
    </row>
    <row r="380" spans="2:14">
      <c r="B380" s="107"/>
      <c r="C380" s="105"/>
      <c r="D380" s="105"/>
      <c r="E380" s="105"/>
      <c r="F380" s="105"/>
      <c r="G380" s="105"/>
      <c r="H380" s="105"/>
      <c r="I380" s="105"/>
      <c r="J380" s="105"/>
      <c r="K380" s="105"/>
      <c r="L380" s="105"/>
      <c r="M380" s="108"/>
      <c r="N380" s="108"/>
    </row>
    <row r="381" spans="2:14">
      <c r="B381" s="107"/>
      <c r="C381" s="105"/>
      <c r="D381" s="105"/>
      <c r="E381" s="105"/>
      <c r="F381" s="105"/>
      <c r="G381" s="105"/>
      <c r="H381" s="105"/>
      <c r="I381" s="105"/>
      <c r="J381" s="105"/>
      <c r="K381" s="105"/>
      <c r="L381" s="105"/>
      <c r="M381" s="108"/>
      <c r="N381" s="108"/>
    </row>
    <row r="382" spans="2:14">
      <c r="B382" s="107"/>
      <c r="C382" s="105"/>
      <c r="D382" s="105"/>
      <c r="E382" s="105"/>
      <c r="F382" s="105"/>
      <c r="G382" s="105"/>
      <c r="H382" s="105"/>
      <c r="I382" s="105"/>
      <c r="J382" s="105"/>
      <c r="K382" s="105"/>
      <c r="L382" s="105"/>
      <c r="M382" s="108"/>
      <c r="N382" s="108"/>
    </row>
    <row r="383" spans="2:14">
      <c r="B383" s="107"/>
      <c r="C383" s="105"/>
      <c r="D383" s="105"/>
      <c r="E383" s="105"/>
      <c r="F383" s="105"/>
      <c r="G383" s="105"/>
      <c r="H383" s="105"/>
      <c r="I383" s="105"/>
      <c r="J383" s="105"/>
      <c r="K383" s="105"/>
      <c r="L383" s="105"/>
      <c r="M383" s="108"/>
      <c r="N383" s="108"/>
    </row>
    <row r="384" spans="2:14">
      <c r="B384" s="107"/>
      <c r="C384" s="105"/>
      <c r="D384" s="105"/>
      <c r="E384" s="105"/>
      <c r="F384" s="105"/>
      <c r="G384" s="105"/>
      <c r="H384" s="105"/>
      <c r="I384" s="105"/>
      <c r="J384" s="105"/>
      <c r="K384" s="105"/>
      <c r="L384" s="105"/>
      <c r="M384" s="108"/>
      <c r="N384" s="108"/>
    </row>
    <row r="385" spans="2:14">
      <c r="B385" s="107"/>
      <c r="C385" s="105"/>
      <c r="D385" s="105"/>
      <c r="E385" s="105"/>
      <c r="F385" s="105"/>
      <c r="G385" s="105"/>
      <c r="H385" s="105"/>
      <c r="I385" s="105"/>
      <c r="J385" s="105"/>
      <c r="K385" s="105"/>
      <c r="L385" s="105"/>
      <c r="M385" s="108"/>
      <c r="N385" s="108"/>
    </row>
    <row r="386" spans="2:14">
      <c r="B386" s="107"/>
      <c r="C386" s="105"/>
      <c r="D386" s="105"/>
      <c r="E386" s="105"/>
      <c r="F386" s="105"/>
      <c r="G386" s="105"/>
      <c r="H386" s="105"/>
      <c r="I386" s="105"/>
      <c r="J386" s="105"/>
      <c r="K386" s="105"/>
      <c r="L386" s="105"/>
      <c r="M386" s="108"/>
      <c r="N386" s="108"/>
    </row>
    <row r="387" spans="2:14">
      <c r="B387" s="107"/>
      <c r="C387" s="105"/>
      <c r="D387" s="105"/>
      <c r="E387" s="105"/>
      <c r="F387" s="105"/>
      <c r="G387" s="105"/>
      <c r="H387" s="105"/>
      <c r="I387" s="105"/>
      <c r="J387" s="105"/>
      <c r="K387" s="105"/>
      <c r="L387" s="105"/>
      <c r="M387" s="108"/>
      <c r="N387" s="108"/>
    </row>
    <row r="388" spans="2:14">
      <c r="B388" s="107"/>
      <c r="C388" s="105"/>
      <c r="D388" s="105"/>
      <c r="E388" s="105"/>
      <c r="F388" s="105"/>
      <c r="G388" s="105"/>
      <c r="H388" s="105"/>
      <c r="I388" s="105"/>
      <c r="J388" s="105"/>
      <c r="K388" s="105"/>
      <c r="L388" s="105"/>
      <c r="M388" s="108"/>
      <c r="N388" s="108"/>
    </row>
    <row r="389" spans="2:14">
      <c r="B389" s="107"/>
      <c r="C389" s="105"/>
      <c r="D389" s="105"/>
      <c r="E389" s="105"/>
      <c r="F389" s="105"/>
      <c r="G389" s="105"/>
      <c r="H389" s="105"/>
      <c r="I389" s="105"/>
      <c r="J389" s="105"/>
      <c r="K389" s="105"/>
      <c r="L389" s="105"/>
      <c r="M389" s="108"/>
      <c r="N389" s="108"/>
    </row>
    <row r="390" spans="2:14">
      <c r="B390" s="107"/>
      <c r="C390" s="105"/>
      <c r="D390" s="105"/>
      <c r="E390" s="105"/>
      <c r="F390" s="105"/>
      <c r="G390" s="105"/>
      <c r="H390" s="105"/>
      <c r="I390" s="105"/>
      <c r="J390" s="105"/>
      <c r="K390" s="105"/>
      <c r="L390" s="105"/>
      <c r="M390" s="108"/>
      <c r="N390" s="108"/>
    </row>
    <row r="391" spans="2:14">
      <c r="B391" s="107"/>
      <c r="C391" s="105"/>
      <c r="D391" s="105"/>
      <c r="E391" s="105"/>
      <c r="F391" s="105"/>
      <c r="G391" s="105"/>
      <c r="H391" s="105"/>
      <c r="I391" s="105"/>
      <c r="J391" s="105"/>
      <c r="K391" s="105"/>
      <c r="L391" s="105"/>
      <c r="M391" s="108"/>
      <c r="N391" s="108"/>
    </row>
    <row r="392" spans="2:14">
      <c r="B392" s="107"/>
      <c r="C392" s="105"/>
      <c r="D392" s="105"/>
      <c r="E392" s="105"/>
      <c r="F392" s="105"/>
      <c r="G392" s="105"/>
      <c r="H392" s="105"/>
      <c r="I392" s="105"/>
      <c r="J392" s="105"/>
      <c r="K392" s="105"/>
      <c r="L392" s="105"/>
      <c r="M392" s="108"/>
      <c r="N392" s="108"/>
    </row>
    <row r="393" spans="2:14">
      <c r="B393" s="107"/>
      <c r="C393" s="105"/>
      <c r="D393" s="105"/>
      <c r="E393" s="105"/>
      <c r="F393" s="105"/>
      <c r="G393" s="105"/>
      <c r="H393" s="105"/>
      <c r="I393" s="105"/>
      <c r="J393" s="105"/>
      <c r="K393" s="105"/>
      <c r="L393" s="105"/>
      <c r="M393" s="108"/>
      <c r="N393" s="108"/>
    </row>
    <row r="394" spans="2:14">
      <c r="B394" s="107"/>
      <c r="C394" s="105"/>
      <c r="D394" s="105"/>
      <c r="E394" s="105"/>
      <c r="F394" s="105"/>
      <c r="G394" s="105"/>
      <c r="H394" s="105"/>
      <c r="I394" s="105"/>
      <c r="J394" s="105"/>
      <c r="K394" s="105"/>
      <c r="L394" s="105"/>
      <c r="M394" s="108"/>
      <c r="N394" s="108"/>
    </row>
    <row r="395" spans="2:14">
      <c r="B395" s="107"/>
      <c r="C395" s="105"/>
      <c r="D395" s="105"/>
      <c r="E395" s="105"/>
      <c r="F395" s="105"/>
      <c r="G395" s="105"/>
      <c r="H395" s="105"/>
      <c r="I395" s="105"/>
      <c r="J395" s="105"/>
      <c r="K395" s="105"/>
      <c r="L395" s="105"/>
      <c r="M395" s="108"/>
      <c r="N395" s="108"/>
    </row>
    <row r="396" spans="2:14">
      <c r="B396" s="107"/>
      <c r="C396" s="105"/>
      <c r="D396" s="105"/>
      <c r="E396" s="105"/>
      <c r="F396" s="105"/>
      <c r="G396" s="105"/>
      <c r="H396" s="105"/>
      <c r="I396" s="105"/>
      <c r="J396" s="105"/>
      <c r="K396" s="105"/>
      <c r="L396" s="105"/>
      <c r="M396" s="108"/>
      <c r="N396" s="108"/>
    </row>
    <row r="397" spans="2:14">
      <c r="B397" s="107"/>
      <c r="C397" s="105"/>
      <c r="D397" s="105"/>
      <c r="E397" s="105"/>
      <c r="F397" s="105"/>
      <c r="G397" s="105"/>
      <c r="H397" s="105"/>
      <c r="I397" s="105"/>
      <c r="J397" s="105"/>
      <c r="K397" s="105"/>
      <c r="L397" s="105"/>
      <c r="M397" s="108"/>
      <c r="N397" s="108"/>
    </row>
    <row r="398" spans="2:14">
      <c r="B398" s="107"/>
      <c r="C398" s="105"/>
      <c r="D398" s="105"/>
      <c r="E398" s="105"/>
      <c r="F398" s="105"/>
      <c r="G398" s="105"/>
      <c r="H398" s="105"/>
      <c r="I398" s="105"/>
      <c r="J398" s="105"/>
      <c r="K398" s="105"/>
      <c r="L398" s="105"/>
      <c r="M398" s="108"/>
      <c r="N398" s="108"/>
    </row>
    <row r="399" spans="2:14">
      <c r="B399" s="107"/>
      <c r="C399" s="105"/>
      <c r="D399" s="105"/>
      <c r="E399" s="105"/>
      <c r="F399" s="105"/>
      <c r="G399" s="105"/>
      <c r="H399" s="105"/>
      <c r="I399" s="105"/>
      <c r="J399" s="105"/>
      <c r="K399" s="105"/>
      <c r="L399" s="105"/>
      <c r="M399" s="108"/>
      <c r="N399" s="108"/>
    </row>
    <row r="400" spans="2:14">
      <c r="B400" s="107"/>
      <c r="C400" s="105"/>
      <c r="D400" s="105"/>
      <c r="E400" s="105"/>
      <c r="F400" s="105"/>
      <c r="G400" s="105"/>
      <c r="H400" s="105"/>
      <c r="I400" s="105"/>
      <c r="J400" s="105"/>
      <c r="K400" s="105"/>
      <c r="L400" s="105"/>
      <c r="M400" s="108"/>
      <c r="N400" s="108"/>
    </row>
    <row r="401" spans="2:14">
      <c r="B401" s="107"/>
      <c r="C401" s="105"/>
      <c r="D401" s="105"/>
      <c r="E401" s="105"/>
      <c r="F401" s="105"/>
      <c r="G401" s="105"/>
      <c r="H401" s="105"/>
      <c r="I401" s="105"/>
      <c r="J401" s="105"/>
      <c r="K401" s="105"/>
      <c r="L401" s="105"/>
      <c r="M401" s="108"/>
      <c r="N401" s="108"/>
    </row>
    <row r="402" spans="2:14">
      <c r="B402" s="107"/>
      <c r="C402" s="105"/>
      <c r="D402" s="105"/>
      <c r="E402" s="105"/>
      <c r="F402" s="105"/>
      <c r="G402" s="105"/>
      <c r="H402" s="105"/>
      <c r="I402" s="105"/>
      <c r="J402" s="105"/>
      <c r="K402" s="105"/>
      <c r="L402" s="105"/>
      <c r="M402" s="108"/>
      <c r="N402" s="108"/>
    </row>
    <row r="403" spans="2:14">
      <c r="B403" s="107"/>
      <c r="C403" s="105"/>
      <c r="D403" s="105"/>
      <c r="E403" s="105"/>
      <c r="F403" s="105"/>
      <c r="G403" s="105"/>
      <c r="H403" s="105"/>
      <c r="I403" s="105"/>
      <c r="J403" s="105"/>
      <c r="K403" s="105"/>
      <c r="L403" s="105"/>
      <c r="M403" s="108"/>
      <c r="N403" s="108"/>
    </row>
    <row r="404" spans="2:14">
      <c r="B404" s="107"/>
      <c r="C404" s="105"/>
      <c r="D404" s="105"/>
      <c r="E404" s="105"/>
      <c r="F404" s="105"/>
      <c r="G404" s="105"/>
      <c r="H404" s="105"/>
      <c r="I404" s="105"/>
      <c r="J404" s="105"/>
      <c r="K404" s="105"/>
      <c r="L404" s="105"/>
      <c r="M404" s="108"/>
      <c r="N404" s="108"/>
    </row>
    <row r="405" spans="2:14">
      <c r="B405" s="107"/>
      <c r="C405" s="105"/>
      <c r="D405" s="105"/>
      <c r="E405" s="105"/>
      <c r="F405" s="105"/>
      <c r="G405" s="105"/>
      <c r="H405" s="105"/>
      <c r="I405" s="105"/>
      <c r="J405" s="105"/>
      <c r="K405" s="105"/>
      <c r="L405" s="105"/>
      <c r="M405" s="108"/>
      <c r="N405" s="108"/>
    </row>
    <row r="406" spans="2:14">
      <c r="B406" s="107"/>
      <c r="C406" s="105"/>
      <c r="D406" s="105"/>
      <c r="E406" s="105"/>
      <c r="F406" s="105"/>
      <c r="G406" s="105"/>
      <c r="H406" s="105"/>
      <c r="I406" s="105"/>
      <c r="J406" s="105"/>
      <c r="K406" s="105"/>
      <c r="L406" s="105"/>
      <c r="M406" s="108"/>
      <c r="N406" s="108"/>
    </row>
    <row r="407" spans="2:14">
      <c r="B407" s="107"/>
      <c r="C407" s="105"/>
      <c r="D407" s="105"/>
      <c r="E407" s="105"/>
      <c r="F407" s="105"/>
      <c r="G407" s="105"/>
      <c r="H407" s="105"/>
      <c r="I407" s="105"/>
      <c r="J407" s="105"/>
      <c r="K407" s="105"/>
      <c r="L407" s="105"/>
      <c r="M407" s="108"/>
      <c r="N407" s="108"/>
    </row>
    <row r="408" spans="2:14">
      <c r="B408" s="107"/>
      <c r="C408" s="105"/>
      <c r="D408" s="105"/>
      <c r="E408" s="105"/>
      <c r="F408" s="105"/>
      <c r="G408" s="105"/>
      <c r="H408" s="105"/>
      <c r="I408" s="105"/>
      <c r="J408" s="105"/>
      <c r="K408" s="105"/>
      <c r="L408" s="105"/>
      <c r="M408" s="108"/>
      <c r="N408" s="108"/>
    </row>
    <row r="409" spans="2:14">
      <c r="B409" s="107"/>
      <c r="C409" s="105"/>
      <c r="D409" s="105"/>
      <c r="E409" s="105"/>
      <c r="F409" s="105"/>
      <c r="G409" s="105"/>
      <c r="H409" s="105"/>
      <c r="I409" s="105"/>
      <c r="J409" s="105"/>
      <c r="K409" s="105"/>
      <c r="L409" s="105"/>
      <c r="M409" s="108"/>
      <c r="N409" s="108"/>
    </row>
    <row r="410" spans="2:14">
      <c r="B410" s="107"/>
      <c r="C410" s="105"/>
      <c r="D410" s="105"/>
      <c r="E410" s="105"/>
      <c r="F410" s="105"/>
      <c r="G410" s="105"/>
      <c r="H410" s="105"/>
      <c r="I410" s="105"/>
      <c r="J410" s="105"/>
      <c r="K410" s="105"/>
      <c r="L410" s="105"/>
      <c r="M410" s="108"/>
      <c r="N410" s="108"/>
    </row>
    <row r="411" spans="2:14">
      <c r="B411" s="107"/>
      <c r="C411" s="105"/>
      <c r="D411" s="105"/>
      <c r="E411" s="105"/>
      <c r="F411" s="105"/>
      <c r="G411" s="105"/>
      <c r="H411" s="105"/>
      <c r="I411" s="105"/>
      <c r="J411" s="105"/>
      <c r="K411" s="105"/>
      <c r="L411" s="105"/>
      <c r="M411" s="108"/>
      <c r="N411" s="108"/>
    </row>
    <row r="412" spans="2:14">
      <c r="B412" s="107"/>
      <c r="C412" s="105"/>
      <c r="D412" s="105"/>
      <c r="E412" s="105"/>
      <c r="F412" s="105"/>
      <c r="G412" s="105"/>
      <c r="H412" s="105"/>
      <c r="I412" s="105"/>
      <c r="J412" s="105"/>
      <c r="K412" s="105"/>
      <c r="L412" s="105"/>
      <c r="M412" s="108"/>
      <c r="N412" s="108"/>
    </row>
    <row r="413" spans="2:14">
      <c r="B413" s="107"/>
      <c r="C413" s="105"/>
      <c r="D413" s="105"/>
      <c r="E413" s="105"/>
      <c r="F413" s="105"/>
      <c r="G413" s="105"/>
      <c r="H413" s="105"/>
      <c r="I413" s="105"/>
      <c r="J413" s="105"/>
      <c r="K413" s="105"/>
      <c r="L413" s="105"/>
      <c r="M413" s="108"/>
      <c r="N413" s="108"/>
    </row>
    <row r="414" spans="2:14">
      <c r="B414" s="107"/>
      <c r="C414" s="105"/>
      <c r="D414" s="105"/>
      <c r="E414" s="105"/>
      <c r="F414" s="105"/>
      <c r="G414" s="105"/>
      <c r="H414" s="105"/>
      <c r="I414" s="105"/>
      <c r="J414" s="105"/>
      <c r="K414" s="105"/>
      <c r="L414" s="105"/>
      <c r="M414" s="108"/>
      <c r="N414" s="108"/>
    </row>
    <row r="415" spans="2:14">
      <c r="B415" s="107"/>
      <c r="C415" s="105"/>
      <c r="D415" s="105"/>
      <c r="E415" s="105"/>
      <c r="F415" s="105"/>
      <c r="G415" s="105"/>
      <c r="H415" s="105"/>
      <c r="I415" s="105"/>
      <c r="J415" s="105"/>
      <c r="K415" s="105"/>
      <c r="L415" s="105"/>
      <c r="M415" s="108"/>
      <c r="N415" s="108"/>
    </row>
    <row r="416" spans="2:14">
      <c r="B416" s="107"/>
      <c r="C416" s="105"/>
      <c r="D416" s="105"/>
      <c r="E416" s="105"/>
      <c r="F416" s="105"/>
      <c r="G416" s="105"/>
      <c r="H416" s="105"/>
      <c r="I416" s="105"/>
      <c r="J416" s="105"/>
      <c r="K416" s="105"/>
      <c r="L416" s="105"/>
      <c r="M416" s="108"/>
      <c r="N416" s="108"/>
    </row>
    <row r="417" spans="2:14">
      <c r="B417" s="107"/>
      <c r="C417" s="105"/>
      <c r="D417" s="105"/>
      <c r="E417" s="105"/>
      <c r="F417" s="105"/>
      <c r="G417" s="105"/>
      <c r="H417" s="105"/>
      <c r="I417" s="105"/>
      <c r="J417" s="105"/>
      <c r="K417" s="105"/>
      <c r="L417" s="105"/>
      <c r="M417" s="108"/>
      <c r="N417" s="108"/>
    </row>
    <row r="418" spans="2:14">
      <c r="B418" s="107"/>
      <c r="C418" s="105"/>
      <c r="D418" s="105"/>
      <c r="E418" s="105"/>
      <c r="F418" s="105"/>
      <c r="G418" s="105"/>
      <c r="H418" s="105"/>
      <c r="I418" s="105"/>
      <c r="J418" s="105"/>
      <c r="K418" s="105"/>
      <c r="L418" s="105"/>
      <c r="M418" s="108"/>
      <c r="N418" s="108"/>
    </row>
    <row r="419" spans="2:14">
      <c r="B419" s="107"/>
      <c r="C419" s="105"/>
      <c r="D419" s="105"/>
      <c r="E419" s="105"/>
      <c r="F419" s="105"/>
      <c r="G419" s="105"/>
      <c r="H419" s="105"/>
      <c r="I419" s="105"/>
      <c r="J419" s="105"/>
      <c r="K419" s="105"/>
      <c r="L419" s="105"/>
      <c r="M419" s="108"/>
      <c r="N419" s="108"/>
    </row>
    <row r="420" spans="2:14">
      <c r="B420" s="107"/>
      <c r="C420" s="105"/>
      <c r="D420" s="105"/>
      <c r="E420" s="105"/>
      <c r="F420" s="105"/>
      <c r="G420" s="105"/>
      <c r="H420" s="105"/>
      <c r="I420" s="105"/>
      <c r="J420" s="105"/>
      <c r="K420" s="105"/>
      <c r="L420" s="105"/>
      <c r="M420" s="108"/>
      <c r="N420" s="108"/>
    </row>
    <row r="421" spans="2:14">
      <c r="B421" s="107"/>
      <c r="C421" s="105"/>
      <c r="D421" s="105"/>
      <c r="E421" s="105"/>
      <c r="F421" s="105"/>
      <c r="G421" s="105"/>
      <c r="H421" s="105"/>
      <c r="I421" s="105"/>
      <c r="J421" s="105"/>
      <c r="K421" s="105"/>
      <c r="L421" s="105"/>
      <c r="M421" s="108"/>
      <c r="N421" s="108"/>
    </row>
    <row r="422" spans="2:14">
      <c r="B422" s="107"/>
      <c r="C422" s="105"/>
      <c r="D422" s="105"/>
      <c r="E422" s="105"/>
      <c r="F422" s="105"/>
      <c r="G422" s="105"/>
      <c r="H422" s="105"/>
      <c r="I422" s="105"/>
      <c r="J422" s="105"/>
      <c r="K422" s="105"/>
      <c r="L422" s="105"/>
      <c r="M422" s="108"/>
      <c r="N422" s="108"/>
    </row>
    <row r="423" spans="2:14">
      <c r="B423" s="107"/>
      <c r="C423" s="105"/>
      <c r="D423" s="105"/>
      <c r="E423" s="105"/>
      <c r="F423" s="105"/>
      <c r="G423" s="105"/>
      <c r="H423" s="105"/>
      <c r="I423" s="105"/>
      <c r="J423" s="105"/>
      <c r="K423" s="105"/>
      <c r="L423" s="105"/>
      <c r="M423" s="108"/>
      <c r="N423" s="108"/>
    </row>
    <row r="424" spans="2:14">
      <c r="B424" s="107"/>
      <c r="C424" s="105"/>
      <c r="D424" s="105"/>
      <c r="E424" s="105"/>
      <c r="F424" s="105"/>
      <c r="G424" s="105"/>
      <c r="H424" s="105"/>
      <c r="I424" s="105"/>
      <c r="J424" s="105"/>
      <c r="K424" s="105"/>
      <c r="L424" s="105"/>
      <c r="M424" s="108"/>
      <c r="N424" s="108"/>
    </row>
    <row r="425" spans="2:14">
      <c r="B425" s="107"/>
      <c r="C425" s="105"/>
      <c r="D425" s="105"/>
      <c r="E425" s="105"/>
      <c r="F425" s="105"/>
      <c r="G425" s="105"/>
      <c r="H425" s="105"/>
      <c r="I425" s="105"/>
      <c r="J425" s="105"/>
      <c r="K425" s="105"/>
      <c r="L425" s="105"/>
      <c r="M425" s="108"/>
      <c r="N425" s="108"/>
    </row>
    <row r="426" spans="2:14">
      <c r="B426" s="107"/>
      <c r="C426" s="105"/>
      <c r="D426" s="105"/>
      <c r="E426" s="105"/>
      <c r="F426" s="105"/>
      <c r="G426" s="105"/>
      <c r="H426" s="105"/>
      <c r="I426" s="105"/>
      <c r="J426" s="105"/>
      <c r="K426" s="105"/>
      <c r="L426" s="105"/>
      <c r="M426" s="108"/>
      <c r="N426" s="108"/>
    </row>
    <row r="427" spans="2:14">
      <c r="B427" s="107"/>
      <c r="C427" s="105"/>
      <c r="D427" s="105"/>
      <c r="E427" s="105"/>
      <c r="F427" s="105"/>
      <c r="G427" s="105"/>
      <c r="H427" s="105"/>
      <c r="I427" s="105"/>
      <c r="J427" s="105"/>
      <c r="K427" s="105"/>
      <c r="L427" s="105"/>
      <c r="M427" s="108"/>
      <c r="N427" s="108"/>
    </row>
    <row r="428" spans="2:14">
      <c r="B428" s="107"/>
      <c r="C428" s="105"/>
      <c r="D428" s="105"/>
      <c r="E428" s="105"/>
      <c r="F428" s="105"/>
      <c r="G428" s="105"/>
      <c r="H428" s="105"/>
      <c r="I428" s="105"/>
      <c r="J428" s="105"/>
      <c r="K428" s="105"/>
      <c r="L428" s="105"/>
      <c r="M428" s="108"/>
      <c r="N428" s="108"/>
    </row>
    <row r="429" spans="2:14">
      <c r="B429" s="107"/>
      <c r="C429" s="105"/>
      <c r="D429" s="105"/>
      <c r="E429" s="105"/>
      <c r="F429" s="105"/>
      <c r="G429" s="105"/>
      <c r="H429" s="105"/>
      <c r="I429" s="105"/>
      <c r="J429" s="105"/>
      <c r="K429" s="105"/>
      <c r="L429" s="105"/>
      <c r="M429" s="108"/>
      <c r="N429" s="108"/>
    </row>
    <row r="430" spans="2:14">
      <c r="B430" s="107"/>
      <c r="C430" s="105"/>
      <c r="D430" s="105"/>
      <c r="E430" s="105"/>
      <c r="F430" s="105"/>
      <c r="G430" s="105"/>
      <c r="H430" s="105"/>
      <c r="I430" s="105"/>
      <c r="J430" s="105"/>
      <c r="K430" s="105"/>
      <c r="L430" s="105"/>
      <c r="M430" s="108"/>
      <c r="N430" s="108"/>
    </row>
    <row r="431" spans="2:14">
      <c r="B431" s="107"/>
      <c r="C431" s="105"/>
      <c r="D431" s="105"/>
      <c r="E431" s="105"/>
      <c r="F431" s="105"/>
      <c r="G431" s="105"/>
      <c r="H431" s="105"/>
      <c r="I431" s="105"/>
      <c r="J431" s="105"/>
      <c r="K431" s="105"/>
      <c r="L431" s="105"/>
      <c r="M431" s="108"/>
      <c r="N431" s="108"/>
    </row>
    <row r="432" spans="2:14">
      <c r="B432" s="107"/>
      <c r="C432" s="105"/>
      <c r="D432" s="105"/>
      <c r="E432" s="105"/>
      <c r="F432" s="105"/>
      <c r="G432" s="105"/>
      <c r="H432" s="105"/>
      <c r="I432" s="105"/>
      <c r="J432" s="105"/>
      <c r="K432" s="105"/>
      <c r="L432" s="105"/>
      <c r="M432" s="108"/>
      <c r="N432" s="108"/>
    </row>
    <row r="433" spans="2:14">
      <c r="B433" s="107"/>
      <c r="C433" s="105"/>
      <c r="D433" s="105"/>
      <c r="E433" s="105"/>
      <c r="F433" s="105"/>
      <c r="G433" s="105"/>
      <c r="H433" s="105"/>
      <c r="I433" s="105"/>
      <c r="J433" s="105"/>
      <c r="K433" s="105"/>
      <c r="L433" s="105"/>
      <c r="M433" s="108"/>
      <c r="N433" s="108"/>
    </row>
    <row r="434" spans="2:14">
      <c r="B434" s="107"/>
      <c r="C434" s="105"/>
      <c r="D434" s="105"/>
      <c r="E434" s="105"/>
      <c r="F434" s="105"/>
      <c r="G434" s="105"/>
      <c r="H434" s="105"/>
      <c r="I434" s="105"/>
      <c r="J434" s="105"/>
      <c r="K434" s="105"/>
      <c r="L434" s="105"/>
      <c r="M434" s="108"/>
      <c r="N434" s="108"/>
    </row>
    <row r="435" spans="2:14">
      <c r="B435" s="107"/>
      <c r="C435" s="105"/>
      <c r="D435" s="105"/>
      <c r="E435" s="105"/>
      <c r="F435" s="105"/>
      <c r="G435" s="105"/>
      <c r="H435" s="105"/>
      <c r="I435" s="105"/>
      <c r="J435" s="105"/>
      <c r="K435" s="105"/>
      <c r="L435" s="105"/>
      <c r="M435" s="108"/>
      <c r="N435" s="108"/>
    </row>
    <row r="436" spans="2:14">
      <c r="B436" s="107"/>
      <c r="C436" s="105"/>
      <c r="D436" s="105"/>
      <c r="E436" s="105"/>
      <c r="F436" s="105"/>
      <c r="G436" s="105"/>
      <c r="H436" s="105"/>
      <c r="I436" s="105"/>
      <c r="J436" s="105"/>
      <c r="K436" s="105"/>
      <c r="L436" s="105"/>
      <c r="M436" s="108"/>
      <c r="N436" s="108"/>
    </row>
    <row r="437" spans="2:14">
      <c r="B437" s="107"/>
      <c r="C437" s="105"/>
      <c r="D437" s="105"/>
      <c r="E437" s="105"/>
      <c r="F437" s="105"/>
      <c r="G437" s="105"/>
      <c r="H437" s="105"/>
      <c r="I437" s="105"/>
      <c r="J437" s="105"/>
      <c r="K437" s="105"/>
      <c r="L437" s="105"/>
      <c r="M437" s="108"/>
      <c r="N437" s="108"/>
    </row>
    <row r="438" spans="2:14">
      <c r="B438" s="107"/>
      <c r="C438" s="105"/>
      <c r="D438" s="105"/>
      <c r="E438" s="105"/>
      <c r="F438" s="105"/>
      <c r="G438" s="105"/>
      <c r="H438" s="105"/>
      <c r="I438" s="105"/>
      <c r="J438" s="105"/>
      <c r="K438" s="105"/>
      <c r="L438" s="105"/>
      <c r="M438" s="108"/>
      <c r="N438" s="108"/>
    </row>
    <row r="439" spans="2:14">
      <c r="B439" s="107"/>
      <c r="C439" s="105"/>
      <c r="D439" s="105"/>
      <c r="E439" s="105"/>
      <c r="F439" s="105"/>
      <c r="G439" s="105"/>
      <c r="H439" s="105"/>
      <c r="I439" s="105"/>
      <c r="J439" s="105"/>
      <c r="K439" s="105"/>
      <c r="L439" s="105"/>
      <c r="M439" s="108"/>
      <c r="N439" s="108"/>
    </row>
    <row r="440" spans="2:14">
      <c r="B440" s="107"/>
      <c r="C440" s="105"/>
      <c r="D440" s="105"/>
      <c r="E440" s="105"/>
      <c r="F440" s="105"/>
      <c r="G440" s="105"/>
      <c r="H440" s="105"/>
      <c r="I440" s="105"/>
      <c r="J440" s="105"/>
      <c r="K440" s="105"/>
      <c r="L440" s="105"/>
      <c r="M440" s="108"/>
      <c r="N440" s="108"/>
    </row>
    <row r="441" spans="2:14">
      <c r="B441" s="107"/>
      <c r="C441" s="105"/>
      <c r="D441" s="105"/>
      <c r="E441" s="105"/>
      <c r="F441" s="105"/>
      <c r="G441" s="105"/>
      <c r="H441" s="105"/>
      <c r="I441" s="105"/>
      <c r="J441" s="105"/>
      <c r="K441" s="105"/>
      <c r="L441" s="105"/>
      <c r="M441" s="108"/>
      <c r="N441" s="108"/>
    </row>
    <row r="442" spans="2:14">
      <c r="B442" s="107"/>
      <c r="C442" s="105"/>
      <c r="D442" s="105"/>
      <c r="E442" s="105"/>
      <c r="F442" s="105"/>
      <c r="G442" s="105"/>
      <c r="H442" s="105"/>
      <c r="I442" s="105"/>
      <c r="J442" s="105"/>
      <c r="K442" s="105"/>
      <c r="L442" s="105"/>
      <c r="M442" s="108"/>
      <c r="N442" s="108"/>
    </row>
    <row r="443" spans="2:14">
      <c r="B443" s="107"/>
      <c r="C443" s="105"/>
      <c r="D443" s="105"/>
      <c r="E443" s="105"/>
      <c r="F443" s="105"/>
      <c r="G443" s="105"/>
      <c r="H443" s="105"/>
      <c r="I443" s="105"/>
      <c r="J443" s="105"/>
      <c r="K443" s="105"/>
      <c r="L443" s="105"/>
      <c r="M443" s="108"/>
      <c r="N443" s="108"/>
    </row>
    <row r="444" spans="2:14">
      <c r="B444" s="107"/>
      <c r="C444" s="105"/>
      <c r="D444" s="105"/>
      <c r="E444" s="105"/>
      <c r="F444" s="105"/>
      <c r="G444" s="105"/>
      <c r="H444" s="105"/>
      <c r="I444" s="105"/>
      <c r="J444" s="105"/>
      <c r="K444" s="105"/>
      <c r="L444" s="105"/>
      <c r="M444" s="108"/>
      <c r="N444" s="108"/>
    </row>
    <row r="445" spans="2:14">
      <c r="B445" s="107"/>
      <c r="C445" s="105"/>
      <c r="D445" s="105"/>
      <c r="E445" s="105"/>
      <c r="F445" s="105"/>
      <c r="G445" s="105"/>
      <c r="H445" s="105"/>
      <c r="I445" s="105"/>
      <c r="J445" s="105"/>
      <c r="K445" s="105"/>
      <c r="L445" s="105"/>
      <c r="M445" s="108"/>
      <c r="N445" s="108"/>
    </row>
    <row r="446" spans="2:14">
      <c r="B446" s="107"/>
      <c r="C446" s="105"/>
      <c r="D446" s="105"/>
      <c r="E446" s="105"/>
      <c r="F446" s="105"/>
      <c r="G446" s="105"/>
      <c r="H446" s="105"/>
      <c r="I446" s="105"/>
      <c r="J446" s="105"/>
      <c r="K446" s="105"/>
      <c r="L446" s="105"/>
      <c r="M446" s="108"/>
      <c r="N446" s="108"/>
    </row>
    <row r="447" spans="2:14">
      <c r="B447" s="107"/>
      <c r="C447" s="105"/>
      <c r="D447" s="105"/>
      <c r="E447" s="105"/>
      <c r="F447" s="105"/>
      <c r="G447" s="105"/>
      <c r="H447" s="105"/>
      <c r="I447" s="105"/>
      <c r="J447" s="105"/>
      <c r="K447" s="105"/>
      <c r="L447" s="105"/>
      <c r="M447" s="108"/>
      <c r="N447" s="108"/>
    </row>
    <row r="448" spans="2:14">
      <c r="B448" s="107"/>
      <c r="C448" s="105"/>
      <c r="D448" s="105"/>
      <c r="E448" s="105"/>
      <c r="F448" s="105"/>
      <c r="G448" s="105"/>
      <c r="H448" s="105"/>
      <c r="I448" s="105"/>
      <c r="J448" s="105"/>
      <c r="K448" s="105"/>
      <c r="L448" s="105"/>
      <c r="M448" s="108"/>
      <c r="N448" s="108"/>
    </row>
    <row r="449" spans="2:14">
      <c r="B449" s="107"/>
      <c r="C449" s="105"/>
      <c r="D449" s="105"/>
      <c r="E449" s="105"/>
      <c r="F449" s="105"/>
      <c r="G449" s="105"/>
      <c r="H449" s="105"/>
      <c r="I449" s="105"/>
      <c r="J449" s="105"/>
      <c r="K449" s="105"/>
      <c r="L449" s="105"/>
      <c r="M449" s="108"/>
      <c r="N449" s="108"/>
    </row>
    <row r="450" spans="2:14">
      <c r="B450" s="107"/>
      <c r="C450" s="105"/>
      <c r="D450" s="105"/>
      <c r="E450" s="105"/>
      <c r="F450" s="105"/>
      <c r="G450" s="105"/>
      <c r="H450" s="105"/>
      <c r="I450" s="105"/>
      <c r="J450" s="105"/>
      <c r="K450" s="105"/>
      <c r="L450" s="105"/>
      <c r="M450" s="108"/>
      <c r="N450" s="108"/>
    </row>
    <row r="451" spans="2:14">
      <c r="B451" s="107"/>
      <c r="C451" s="105"/>
      <c r="D451" s="105"/>
      <c r="E451" s="105"/>
      <c r="F451" s="105"/>
      <c r="G451" s="105"/>
      <c r="H451" s="105"/>
      <c r="I451" s="105"/>
      <c r="J451" s="105"/>
      <c r="K451" s="105"/>
      <c r="L451" s="105"/>
      <c r="M451" s="108"/>
      <c r="N451" s="108"/>
    </row>
    <row r="452" spans="2:14">
      <c r="B452" s="107"/>
      <c r="C452" s="105"/>
      <c r="D452" s="105"/>
      <c r="E452" s="105"/>
      <c r="F452" s="105"/>
      <c r="G452" s="105"/>
      <c r="H452" s="105"/>
      <c r="I452" s="105"/>
      <c r="J452" s="105"/>
      <c r="K452" s="105"/>
      <c r="L452" s="105"/>
      <c r="M452" s="108"/>
      <c r="N452" s="108"/>
    </row>
    <row r="453" spans="2:14">
      <c r="B453" s="107"/>
      <c r="C453" s="105"/>
      <c r="D453" s="105"/>
      <c r="E453" s="105"/>
      <c r="F453" s="105"/>
      <c r="G453" s="105"/>
      <c r="H453" s="105"/>
      <c r="I453" s="105"/>
      <c r="J453" s="105"/>
      <c r="K453" s="105"/>
      <c r="L453" s="105"/>
      <c r="M453" s="108"/>
      <c r="N453" s="108"/>
    </row>
    <row r="454" spans="2:14">
      <c r="B454" s="107"/>
      <c r="C454" s="105"/>
      <c r="D454" s="105"/>
      <c r="E454" s="105"/>
      <c r="F454" s="105"/>
      <c r="G454" s="105"/>
      <c r="H454" s="105"/>
      <c r="I454" s="105"/>
      <c r="J454" s="105"/>
      <c r="K454" s="105"/>
      <c r="L454" s="105"/>
      <c r="M454" s="108"/>
      <c r="N454" s="108"/>
    </row>
    <row r="455" spans="2:14">
      <c r="B455" s="107"/>
      <c r="C455" s="105"/>
      <c r="D455" s="105"/>
      <c r="E455" s="105"/>
      <c r="F455" s="105"/>
      <c r="G455" s="105"/>
      <c r="H455" s="105"/>
      <c r="I455" s="105"/>
      <c r="J455" s="105"/>
      <c r="K455" s="105"/>
      <c r="L455" s="105"/>
      <c r="M455" s="108"/>
      <c r="N455" s="108"/>
    </row>
    <row r="456" spans="2:14">
      <c r="B456" s="107"/>
      <c r="C456" s="105"/>
      <c r="D456" s="105"/>
      <c r="E456" s="105"/>
      <c r="F456" s="105"/>
      <c r="G456" s="105"/>
      <c r="H456" s="105"/>
      <c r="I456" s="105"/>
      <c r="J456" s="105"/>
      <c r="K456" s="105"/>
      <c r="L456" s="105"/>
      <c r="M456" s="108"/>
      <c r="N456" s="108"/>
    </row>
    <row r="457" spans="2:14">
      <c r="B457" s="107"/>
      <c r="C457" s="105"/>
      <c r="D457" s="105"/>
      <c r="E457" s="105"/>
      <c r="F457" s="105"/>
      <c r="G457" s="105"/>
      <c r="H457" s="105"/>
      <c r="I457" s="105"/>
      <c r="J457" s="105"/>
      <c r="K457" s="105"/>
      <c r="L457" s="105"/>
      <c r="M457" s="108"/>
      <c r="N457" s="108"/>
    </row>
    <row r="458" spans="2:14">
      <c r="B458" s="107"/>
      <c r="C458" s="105"/>
      <c r="D458" s="105"/>
      <c r="E458" s="105"/>
      <c r="F458" s="105"/>
      <c r="G458" s="105"/>
      <c r="H458" s="105"/>
      <c r="I458" s="105"/>
      <c r="J458" s="105"/>
      <c r="K458" s="105"/>
      <c r="L458" s="105"/>
      <c r="M458" s="108"/>
      <c r="N458" s="108"/>
    </row>
    <row r="459" spans="2:14">
      <c r="B459" s="107"/>
      <c r="C459" s="105"/>
      <c r="D459" s="105"/>
      <c r="E459" s="105"/>
      <c r="F459" s="105"/>
      <c r="G459" s="105"/>
      <c r="H459" s="105"/>
      <c r="I459" s="105"/>
      <c r="J459" s="105"/>
      <c r="K459" s="105"/>
      <c r="L459" s="105"/>
      <c r="M459" s="108"/>
      <c r="N459" s="108"/>
    </row>
    <row r="460" spans="2:14">
      <c r="B460" s="107"/>
      <c r="C460" s="105"/>
      <c r="D460" s="105"/>
      <c r="E460" s="105"/>
      <c r="F460" s="105"/>
      <c r="G460" s="105"/>
      <c r="H460" s="105"/>
      <c r="I460" s="105"/>
      <c r="J460" s="105"/>
      <c r="K460" s="105"/>
      <c r="L460" s="105"/>
      <c r="M460" s="108"/>
      <c r="N460" s="108"/>
    </row>
    <row r="461" spans="2:14">
      <c r="B461" s="107"/>
      <c r="C461" s="105"/>
      <c r="D461" s="105"/>
      <c r="E461" s="105"/>
      <c r="F461" s="105"/>
      <c r="G461" s="105"/>
      <c r="H461" s="105"/>
      <c r="I461" s="105"/>
      <c r="J461" s="105"/>
      <c r="K461" s="105"/>
      <c r="L461" s="105"/>
      <c r="M461" s="108"/>
      <c r="N461" s="108"/>
    </row>
    <row r="462" spans="2:14">
      <c r="B462" s="107"/>
      <c r="C462" s="105"/>
      <c r="D462" s="105"/>
      <c r="E462" s="105"/>
      <c r="F462" s="105"/>
      <c r="G462" s="105"/>
      <c r="H462" s="105"/>
      <c r="I462" s="105"/>
      <c r="J462" s="105"/>
      <c r="K462" s="105"/>
      <c r="L462" s="105"/>
      <c r="M462" s="108"/>
      <c r="N462" s="108"/>
    </row>
    <row r="463" spans="2:14">
      <c r="B463" s="107"/>
      <c r="C463" s="105"/>
      <c r="D463" s="105"/>
      <c r="E463" s="105"/>
      <c r="F463" s="105"/>
      <c r="G463" s="105"/>
      <c r="H463" s="105"/>
      <c r="I463" s="105"/>
      <c r="J463" s="105"/>
      <c r="K463" s="105"/>
      <c r="L463" s="105"/>
      <c r="M463" s="108"/>
      <c r="N463" s="108"/>
    </row>
    <row r="464" spans="2:14">
      <c r="B464" s="107"/>
      <c r="C464" s="105"/>
      <c r="D464" s="105"/>
      <c r="E464" s="105"/>
      <c r="F464" s="105"/>
      <c r="G464" s="105"/>
      <c r="H464" s="105"/>
      <c r="I464" s="105"/>
      <c r="J464" s="105"/>
      <c r="K464" s="105"/>
      <c r="L464" s="105"/>
      <c r="M464" s="108"/>
      <c r="N464" s="108"/>
    </row>
    <row r="465" spans="2:14">
      <c r="B465" s="107"/>
      <c r="C465" s="105"/>
      <c r="D465" s="105"/>
      <c r="E465" s="105"/>
      <c r="F465" s="105"/>
      <c r="G465" s="105"/>
      <c r="H465" s="105"/>
      <c r="I465" s="105"/>
      <c r="J465" s="105"/>
      <c r="K465" s="105"/>
      <c r="L465" s="105"/>
      <c r="M465" s="108"/>
      <c r="N465" s="108"/>
    </row>
    <row r="466" spans="2:14">
      <c r="B466" s="107"/>
      <c r="C466" s="105"/>
      <c r="D466" s="105"/>
      <c r="E466" s="105"/>
      <c r="F466" s="105"/>
      <c r="G466" s="105"/>
      <c r="H466" s="105"/>
      <c r="I466" s="105"/>
      <c r="J466" s="105"/>
      <c r="K466" s="105"/>
      <c r="L466" s="105"/>
      <c r="M466" s="108"/>
      <c r="N466" s="108"/>
    </row>
    <row r="467" spans="2:14">
      <c r="B467" s="107"/>
      <c r="C467" s="105"/>
      <c r="D467" s="105"/>
      <c r="E467" s="105"/>
      <c r="F467" s="105"/>
      <c r="G467" s="105"/>
      <c r="H467" s="105"/>
      <c r="I467" s="105"/>
      <c r="J467" s="105"/>
      <c r="K467" s="105"/>
      <c r="L467" s="105"/>
      <c r="M467" s="108"/>
      <c r="N467" s="108"/>
    </row>
    <row r="468" spans="2:14">
      <c r="B468" s="107"/>
      <c r="C468" s="105"/>
      <c r="D468" s="105"/>
      <c r="E468" s="105"/>
      <c r="F468" s="105"/>
      <c r="G468" s="105"/>
      <c r="H468" s="105"/>
      <c r="I468" s="105"/>
      <c r="J468" s="105"/>
      <c r="K468" s="105"/>
      <c r="L468" s="105"/>
      <c r="M468" s="108"/>
      <c r="N468" s="108"/>
    </row>
    <row r="469" spans="2:14">
      <c r="B469" s="107"/>
      <c r="C469" s="105"/>
      <c r="D469" s="105"/>
      <c r="E469" s="105"/>
      <c r="F469" s="105"/>
      <c r="G469" s="105"/>
      <c r="H469" s="105"/>
      <c r="I469" s="105"/>
      <c r="J469" s="105"/>
      <c r="K469" s="105"/>
      <c r="L469" s="105"/>
      <c r="M469" s="108"/>
      <c r="N469" s="108"/>
    </row>
    <row r="470" spans="2:14">
      <c r="B470" s="107"/>
      <c r="C470" s="105"/>
      <c r="D470" s="105"/>
      <c r="E470" s="105"/>
      <c r="F470" s="105"/>
      <c r="G470" s="105"/>
      <c r="H470" s="105"/>
      <c r="I470" s="105"/>
      <c r="J470" s="105"/>
      <c r="K470" s="105"/>
      <c r="L470" s="105"/>
      <c r="M470" s="108"/>
      <c r="N470" s="108"/>
    </row>
    <row r="471" spans="2:14">
      <c r="B471" s="107"/>
      <c r="C471" s="105"/>
      <c r="D471" s="105"/>
      <c r="E471" s="105"/>
      <c r="F471" s="105"/>
      <c r="G471" s="105"/>
      <c r="H471" s="105"/>
      <c r="I471" s="105"/>
      <c r="J471" s="105"/>
      <c r="K471" s="105"/>
      <c r="L471" s="105"/>
      <c r="M471" s="108"/>
      <c r="N471" s="108"/>
    </row>
    <row r="472" spans="2:14">
      <c r="B472" s="107"/>
      <c r="C472" s="105"/>
      <c r="D472" s="105"/>
      <c r="E472" s="105"/>
      <c r="F472" s="105"/>
      <c r="G472" s="105"/>
      <c r="H472" s="105"/>
      <c r="I472" s="105"/>
      <c r="J472" s="105"/>
      <c r="K472" s="105"/>
      <c r="L472" s="105"/>
      <c r="M472" s="108"/>
      <c r="N472" s="108"/>
    </row>
    <row r="473" spans="2:14">
      <c r="B473" s="107"/>
      <c r="C473" s="105"/>
      <c r="D473" s="105"/>
      <c r="E473" s="105"/>
      <c r="F473" s="105"/>
      <c r="G473" s="105"/>
      <c r="H473" s="105"/>
      <c r="I473" s="105"/>
      <c r="J473" s="105"/>
      <c r="K473" s="105"/>
      <c r="L473" s="105"/>
      <c r="M473" s="108"/>
      <c r="N473" s="108"/>
    </row>
    <row r="474" spans="2:14">
      <c r="B474" s="107"/>
      <c r="C474" s="105"/>
      <c r="D474" s="105"/>
      <c r="E474" s="105"/>
      <c r="F474" s="105"/>
      <c r="G474" s="105"/>
      <c r="H474" s="105"/>
      <c r="I474" s="105"/>
      <c r="J474" s="105"/>
      <c r="K474" s="105"/>
      <c r="L474" s="105"/>
      <c r="M474" s="108"/>
      <c r="N474" s="108"/>
    </row>
    <row r="475" spans="2:14">
      <c r="B475" s="107"/>
      <c r="C475" s="105"/>
      <c r="D475" s="105"/>
      <c r="E475" s="105"/>
      <c r="F475" s="105"/>
      <c r="G475" s="105"/>
      <c r="H475" s="105"/>
      <c r="I475" s="105"/>
      <c r="J475" s="105"/>
      <c r="K475" s="105"/>
      <c r="L475" s="105"/>
      <c r="M475" s="108"/>
      <c r="N475" s="108"/>
    </row>
    <row r="476" spans="2:14">
      <c r="B476" s="107"/>
      <c r="C476" s="105"/>
      <c r="D476" s="105"/>
      <c r="E476" s="105"/>
      <c r="F476" s="105"/>
      <c r="G476" s="105"/>
      <c r="H476" s="105"/>
      <c r="I476" s="105"/>
      <c r="J476" s="105"/>
      <c r="K476" s="105"/>
      <c r="L476" s="105"/>
      <c r="M476" s="108"/>
      <c r="N476" s="108"/>
    </row>
    <row r="477" spans="2:14">
      <c r="B477" s="107"/>
      <c r="C477" s="105"/>
      <c r="D477" s="105"/>
      <c r="E477" s="105"/>
      <c r="F477" s="105"/>
      <c r="G477" s="105"/>
      <c r="H477" s="105"/>
      <c r="I477" s="105"/>
      <c r="J477" s="105"/>
      <c r="K477" s="105"/>
      <c r="L477" s="105"/>
      <c r="M477" s="108"/>
      <c r="N477" s="108"/>
    </row>
    <row r="478" spans="2:14">
      <c r="B478" s="107"/>
      <c r="C478" s="105"/>
      <c r="D478" s="105"/>
      <c r="E478" s="105"/>
      <c r="F478" s="105"/>
      <c r="G478" s="105"/>
      <c r="H478" s="105"/>
      <c r="I478" s="105"/>
      <c r="J478" s="105"/>
      <c r="K478" s="105"/>
      <c r="L478" s="105"/>
      <c r="M478" s="108"/>
      <c r="N478" s="108"/>
    </row>
    <row r="479" spans="2:14">
      <c r="B479" s="107"/>
      <c r="C479" s="105"/>
      <c r="D479" s="105"/>
      <c r="E479" s="105"/>
      <c r="F479" s="105"/>
      <c r="G479" s="105"/>
      <c r="H479" s="105"/>
      <c r="I479" s="105"/>
      <c r="J479" s="105"/>
      <c r="K479" s="105"/>
      <c r="L479" s="105"/>
      <c r="M479" s="108"/>
      <c r="N479" s="108"/>
    </row>
    <row r="480" spans="2:14">
      <c r="B480" s="107"/>
      <c r="C480" s="105"/>
      <c r="D480" s="105"/>
      <c r="E480" s="105"/>
      <c r="F480" s="105"/>
      <c r="G480" s="105"/>
      <c r="H480" s="105"/>
      <c r="I480" s="105"/>
      <c r="J480" s="105"/>
      <c r="K480" s="105"/>
      <c r="L480" s="105"/>
      <c r="M480" s="108"/>
      <c r="N480" s="108"/>
    </row>
    <row r="481" spans="2:14">
      <c r="B481" s="107"/>
      <c r="C481" s="105"/>
      <c r="D481" s="105"/>
      <c r="E481" s="105"/>
      <c r="F481" s="105"/>
      <c r="G481" s="105"/>
      <c r="H481" s="105"/>
      <c r="I481" s="105"/>
      <c r="J481" s="105"/>
      <c r="K481" s="105"/>
      <c r="L481" s="105"/>
      <c r="M481" s="108"/>
      <c r="N481" s="108"/>
    </row>
    <row r="482" spans="2:14">
      <c r="B482" s="107"/>
      <c r="C482" s="105"/>
      <c r="D482" s="105"/>
      <c r="E482" s="105"/>
      <c r="F482" s="105"/>
      <c r="G482" s="105"/>
      <c r="H482" s="105"/>
      <c r="I482" s="105"/>
      <c r="J482" s="105"/>
      <c r="K482" s="105"/>
      <c r="L482" s="105"/>
      <c r="M482" s="108"/>
      <c r="N482" s="108"/>
    </row>
    <row r="483" spans="2:14">
      <c r="B483" s="107"/>
      <c r="C483" s="105"/>
      <c r="D483" s="105"/>
      <c r="E483" s="105"/>
      <c r="F483" s="105"/>
      <c r="G483" s="105"/>
      <c r="H483" s="105"/>
      <c r="I483" s="105"/>
      <c r="J483" s="105"/>
      <c r="K483" s="105"/>
      <c r="L483" s="105"/>
      <c r="M483" s="108"/>
      <c r="N483" s="108"/>
    </row>
    <row r="484" spans="2:14">
      <c r="B484" s="107"/>
      <c r="C484" s="105"/>
      <c r="D484" s="105"/>
      <c r="E484" s="105"/>
      <c r="F484" s="105"/>
      <c r="G484" s="105"/>
      <c r="H484" s="105"/>
      <c r="I484" s="105"/>
      <c r="J484" s="105"/>
      <c r="K484" s="105"/>
      <c r="L484" s="105"/>
      <c r="M484" s="108"/>
      <c r="N484" s="108"/>
    </row>
    <row r="485" spans="2:14">
      <c r="B485" s="107"/>
      <c r="C485" s="105"/>
      <c r="D485" s="105"/>
      <c r="E485" s="105"/>
      <c r="F485" s="105"/>
      <c r="G485" s="105"/>
      <c r="H485" s="105"/>
      <c r="I485" s="105"/>
      <c r="J485" s="105"/>
      <c r="K485" s="105"/>
      <c r="L485" s="105"/>
      <c r="M485" s="108"/>
      <c r="N485" s="108"/>
    </row>
    <row r="486" spans="2:14">
      <c r="B486" s="107"/>
      <c r="C486" s="105"/>
      <c r="D486" s="105"/>
      <c r="E486" s="105"/>
      <c r="F486" s="105"/>
      <c r="G486" s="105"/>
      <c r="H486" s="105"/>
      <c r="I486" s="105"/>
      <c r="J486" s="105"/>
      <c r="K486" s="105"/>
      <c r="L486" s="105"/>
      <c r="M486" s="108"/>
      <c r="N486" s="108"/>
    </row>
    <row r="487" spans="2:14">
      <c r="B487" s="107"/>
      <c r="C487" s="105"/>
      <c r="D487" s="105"/>
      <c r="E487" s="105"/>
      <c r="F487" s="105"/>
      <c r="G487" s="105"/>
      <c r="H487" s="105"/>
      <c r="I487" s="105"/>
      <c r="J487" s="105"/>
      <c r="K487" s="105"/>
      <c r="L487" s="105"/>
      <c r="M487" s="108"/>
      <c r="N487" s="108"/>
    </row>
    <row r="488" spans="2:14">
      <c r="B488" s="107"/>
      <c r="C488" s="105"/>
      <c r="D488" s="105"/>
      <c r="E488" s="105"/>
      <c r="F488" s="105"/>
      <c r="G488" s="105"/>
      <c r="H488" s="105"/>
      <c r="I488" s="105"/>
      <c r="J488" s="105"/>
      <c r="K488" s="105"/>
      <c r="L488" s="105"/>
      <c r="M488" s="108"/>
      <c r="N488" s="108"/>
    </row>
    <row r="489" spans="2:14">
      <c r="B489" s="107"/>
      <c r="C489" s="105"/>
      <c r="D489" s="105"/>
      <c r="E489" s="105"/>
      <c r="F489" s="105"/>
      <c r="G489" s="105"/>
      <c r="H489" s="105"/>
      <c r="I489" s="105"/>
      <c r="J489" s="105"/>
      <c r="K489" s="105"/>
      <c r="L489" s="105"/>
      <c r="M489" s="108"/>
      <c r="N489" s="108"/>
    </row>
    <row r="490" spans="2:14">
      <c r="B490" s="107"/>
      <c r="C490" s="105"/>
      <c r="D490" s="105"/>
      <c r="E490" s="105"/>
      <c r="F490" s="105"/>
      <c r="G490" s="105"/>
      <c r="H490" s="105"/>
      <c r="I490" s="105"/>
      <c r="J490" s="105"/>
      <c r="K490" s="105"/>
      <c r="L490" s="105"/>
      <c r="M490" s="108"/>
      <c r="N490" s="108"/>
    </row>
    <row r="491" spans="2:14">
      <c r="B491" s="107"/>
      <c r="C491" s="105"/>
      <c r="D491" s="105"/>
      <c r="E491" s="105"/>
      <c r="F491" s="105"/>
      <c r="G491" s="105"/>
      <c r="H491" s="105"/>
      <c r="I491" s="105"/>
      <c r="J491" s="105"/>
      <c r="K491" s="105"/>
      <c r="L491" s="105"/>
      <c r="M491" s="108"/>
      <c r="N491" s="108"/>
    </row>
    <row r="492" spans="2:14">
      <c r="B492" s="107"/>
      <c r="C492" s="105"/>
      <c r="D492" s="105"/>
      <c r="E492" s="105"/>
      <c r="F492" s="105"/>
      <c r="G492" s="105"/>
      <c r="H492" s="105"/>
      <c r="I492" s="105"/>
      <c r="J492" s="105"/>
      <c r="K492" s="105"/>
      <c r="L492" s="105"/>
      <c r="M492" s="108"/>
      <c r="N492" s="108"/>
    </row>
    <row r="493" spans="2:14">
      <c r="B493" s="107"/>
      <c r="C493" s="105"/>
      <c r="D493" s="105"/>
      <c r="E493" s="105"/>
      <c r="F493" s="105"/>
      <c r="G493" s="105"/>
      <c r="H493" s="105"/>
      <c r="I493" s="105"/>
      <c r="J493" s="105"/>
      <c r="K493" s="105"/>
      <c r="L493" s="105"/>
      <c r="M493" s="108"/>
      <c r="N493" s="108"/>
    </row>
    <row r="494" spans="2:14">
      <c r="B494" s="107"/>
      <c r="C494" s="105"/>
      <c r="D494" s="105"/>
      <c r="E494" s="105"/>
      <c r="F494" s="105"/>
      <c r="G494" s="105"/>
      <c r="H494" s="105"/>
      <c r="I494" s="105"/>
      <c r="J494" s="105"/>
      <c r="K494" s="105"/>
      <c r="L494" s="105"/>
      <c r="M494" s="108"/>
      <c r="N494" s="108"/>
    </row>
    <row r="495" spans="2:14">
      <c r="B495" s="107"/>
      <c r="C495" s="105"/>
      <c r="D495" s="105"/>
      <c r="E495" s="105"/>
      <c r="F495" s="105"/>
      <c r="G495" s="105"/>
      <c r="H495" s="105"/>
      <c r="I495" s="105"/>
      <c r="J495" s="105"/>
      <c r="K495" s="105"/>
      <c r="L495" s="105"/>
      <c r="M495" s="108"/>
      <c r="N495" s="108"/>
    </row>
    <row r="496" spans="2:14">
      <c r="B496" s="107"/>
      <c r="C496" s="105"/>
      <c r="D496" s="105"/>
      <c r="E496" s="105"/>
      <c r="F496" s="105"/>
      <c r="G496" s="105"/>
      <c r="H496" s="105"/>
      <c r="I496" s="105"/>
      <c r="J496" s="105"/>
      <c r="K496" s="105"/>
      <c r="L496" s="105"/>
      <c r="M496" s="108"/>
      <c r="N496" s="108"/>
    </row>
    <row r="497" spans="2:14">
      <c r="B497" s="107"/>
      <c r="C497" s="105"/>
      <c r="D497" s="105"/>
      <c r="E497" s="105"/>
      <c r="F497" s="105"/>
      <c r="G497" s="105"/>
      <c r="H497" s="105"/>
      <c r="I497" s="105"/>
      <c r="J497" s="105"/>
      <c r="K497" s="105"/>
      <c r="L497" s="105"/>
      <c r="M497" s="108"/>
      <c r="N497" s="108"/>
    </row>
    <row r="498" spans="2:14">
      <c r="B498" s="107"/>
      <c r="C498" s="105"/>
      <c r="D498" s="105"/>
      <c r="E498" s="105"/>
      <c r="F498" s="105"/>
      <c r="G498" s="105"/>
      <c r="H498" s="105"/>
      <c r="I498" s="105"/>
      <c r="J498" s="105"/>
      <c r="K498" s="105"/>
      <c r="L498" s="105"/>
      <c r="M498" s="108"/>
      <c r="N498" s="108"/>
    </row>
    <row r="499" spans="2:14">
      <c r="B499" s="107"/>
      <c r="C499" s="105"/>
      <c r="D499" s="105"/>
      <c r="E499" s="105"/>
      <c r="F499" s="105"/>
      <c r="G499" s="105"/>
      <c r="H499" s="105"/>
      <c r="I499" s="105"/>
      <c r="J499" s="105"/>
      <c r="K499" s="105"/>
      <c r="L499" s="105"/>
      <c r="M499" s="108"/>
      <c r="N499" s="108"/>
    </row>
    <row r="500" spans="2:14">
      <c r="B500" s="107"/>
      <c r="C500" s="105"/>
      <c r="D500" s="105"/>
      <c r="E500" s="105"/>
      <c r="F500" s="105"/>
      <c r="G500" s="105"/>
      <c r="H500" s="105"/>
      <c r="I500" s="105"/>
      <c r="J500" s="105"/>
      <c r="K500" s="105"/>
      <c r="L500" s="105"/>
      <c r="M500" s="108"/>
      <c r="N500" s="108"/>
    </row>
    <row r="501" spans="2:14">
      <c r="B501" s="107"/>
      <c r="C501" s="105"/>
      <c r="D501" s="105"/>
      <c r="E501" s="105"/>
      <c r="F501" s="105"/>
      <c r="G501" s="105"/>
      <c r="H501" s="105"/>
      <c r="I501" s="105"/>
      <c r="J501" s="105"/>
      <c r="K501" s="105"/>
      <c r="L501" s="105"/>
      <c r="M501" s="108"/>
      <c r="N501" s="108"/>
    </row>
    <row r="502" spans="2:14">
      <c r="B502" s="107"/>
      <c r="C502" s="105"/>
      <c r="D502" s="105"/>
      <c r="E502" s="105"/>
      <c r="F502" s="105"/>
      <c r="G502" s="105"/>
      <c r="H502" s="105"/>
      <c r="I502" s="105"/>
      <c r="J502" s="105"/>
      <c r="K502" s="105"/>
      <c r="L502" s="105"/>
      <c r="M502" s="108"/>
      <c r="N502" s="108"/>
    </row>
    <row r="503" spans="2:14">
      <c r="B503" s="107"/>
      <c r="C503" s="105"/>
      <c r="D503" s="105"/>
      <c r="E503" s="105"/>
      <c r="F503" s="105"/>
      <c r="G503" s="105"/>
      <c r="H503" s="105"/>
      <c r="I503" s="105"/>
      <c r="J503" s="105"/>
      <c r="K503" s="105"/>
      <c r="L503" s="105"/>
      <c r="M503" s="108"/>
      <c r="N503" s="108"/>
    </row>
    <row r="504" spans="2:14">
      <c r="B504" s="107"/>
      <c r="C504" s="105"/>
      <c r="D504" s="105"/>
      <c r="E504" s="105"/>
      <c r="F504" s="105"/>
      <c r="G504" s="105"/>
      <c r="H504" s="105"/>
      <c r="I504" s="105"/>
      <c r="J504" s="105"/>
      <c r="K504" s="105"/>
      <c r="L504" s="105"/>
      <c r="M504" s="108"/>
      <c r="N504" s="108"/>
    </row>
    <row r="505" spans="2:14">
      <c r="B505" s="107"/>
      <c r="C505" s="105"/>
      <c r="D505" s="105"/>
      <c r="E505" s="105"/>
      <c r="F505" s="105"/>
      <c r="G505" s="105"/>
      <c r="H505" s="105"/>
      <c r="I505" s="105"/>
      <c r="J505" s="105"/>
      <c r="K505" s="105"/>
      <c r="L505" s="105"/>
      <c r="M505" s="108"/>
      <c r="N505" s="108"/>
    </row>
    <row r="506" spans="2:14">
      <c r="B506" s="107"/>
      <c r="C506" s="105"/>
      <c r="D506" s="105"/>
      <c r="E506" s="105"/>
      <c r="F506" s="105"/>
      <c r="G506" s="105"/>
      <c r="H506" s="105"/>
      <c r="I506" s="105"/>
      <c r="J506" s="105"/>
      <c r="K506" s="105"/>
      <c r="L506" s="105"/>
      <c r="M506" s="108"/>
      <c r="N506" s="108"/>
    </row>
    <row r="507" spans="2:14">
      <c r="B507" s="107"/>
      <c r="C507" s="105"/>
      <c r="D507" s="105"/>
      <c r="E507" s="105"/>
      <c r="F507" s="105"/>
      <c r="G507" s="105"/>
      <c r="H507" s="105"/>
      <c r="I507" s="105"/>
      <c r="J507" s="105"/>
      <c r="K507" s="105"/>
      <c r="L507" s="105"/>
      <c r="M507" s="108"/>
      <c r="N507" s="108"/>
    </row>
    <row r="508" spans="2:14">
      <c r="B508" s="107"/>
      <c r="C508" s="105"/>
      <c r="D508" s="105"/>
      <c r="E508" s="105"/>
      <c r="F508" s="105"/>
      <c r="G508" s="105"/>
      <c r="H508" s="105"/>
      <c r="I508" s="105"/>
      <c r="J508" s="105"/>
      <c r="K508" s="105"/>
      <c r="L508" s="105"/>
      <c r="M508" s="108"/>
      <c r="N508" s="108"/>
    </row>
    <row r="509" spans="2:14">
      <c r="B509" s="107"/>
      <c r="C509" s="105"/>
      <c r="D509" s="105"/>
      <c r="E509" s="105"/>
      <c r="F509" s="105"/>
      <c r="G509" s="105"/>
      <c r="H509" s="105"/>
      <c r="I509" s="105"/>
      <c r="J509" s="105"/>
      <c r="K509" s="105"/>
      <c r="L509" s="105"/>
      <c r="M509" s="108"/>
      <c r="N509" s="108"/>
    </row>
    <row r="510" spans="2:14">
      <c r="B510" s="107"/>
      <c r="C510" s="105"/>
      <c r="D510" s="105"/>
      <c r="E510" s="105"/>
      <c r="F510" s="105"/>
      <c r="G510" s="105"/>
      <c r="H510" s="105"/>
      <c r="I510" s="105"/>
      <c r="J510" s="105"/>
      <c r="K510" s="105"/>
      <c r="L510" s="105"/>
      <c r="M510" s="108"/>
      <c r="N510" s="108"/>
    </row>
    <row r="511" spans="2:14">
      <c r="B511" s="107"/>
      <c r="C511" s="105"/>
      <c r="D511" s="105"/>
      <c r="E511" s="105"/>
      <c r="F511" s="105"/>
      <c r="G511" s="105"/>
      <c r="H511" s="105"/>
      <c r="I511" s="105"/>
      <c r="J511" s="105"/>
      <c r="K511" s="105"/>
      <c r="L511" s="105"/>
      <c r="M511" s="108"/>
      <c r="N511" s="108"/>
    </row>
    <row r="512" spans="2:14">
      <c r="B512" s="107"/>
      <c r="C512" s="105"/>
      <c r="D512" s="105"/>
      <c r="E512" s="105"/>
      <c r="F512" s="105"/>
      <c r="G512" s="105"/>
      <c r="H512" s="105"/>
      <c r="I512" s="105"/>
      <c r="J512" s="105"/>
      <c r="K512" s="105"/>
      <c r="L512" s="105"/>
      <c r="M512" s="108"/>
      <c r="N512" s="108"/>
    </row>
    <row r="513" spans="2:14">
      <c r="B513" s="107"/>
      <c r="C513" s="105"/>
      <c r="D513" s="105"/>
      <c r="E513" s="105"/>
      <c r="F513" s="105"/>
      <c r="G513" s="105"/>
      <c r="H513" s="105"/>
      <c r="I513" s="105"/>
      <c r="J513" s="105"/>
      <c r="K513" s="105"/>
      <c r="L513" s="105"/>
      <c r="M513" s="108"/>
      <c r="N513" s="108"/>
    </row>
    <row r="514" spans="2:14">
      <c r="B514" s="107"/>
      <c r="C514" s="105"/>
      <c r="D514" s="105"/>
      <c r="E514" s="105"/>
      <c r="F514" s="105"/>
      <c r="G514" s="105"/>
      <c r="H514" s="105"/>
      <c r="I514" s="105"/>
      <c r="J514" s="105"/>
      <c r="K514" s="105"/>
      <c r="L514" s="105"/>
      <c r="M514" s="108"/>
      <c r="N514" s="108"/>
    </row>
    <row r="515" spans="2:14">
      <c r="B515" s="107"/>
      <c r="C515" s="105"/>
      <c r="D515" s="105"/>
      <c r="E515" s="105"/>
      <c r="F515" s="105"/>
      <c r="G515" s="105"/>
      <c r="H515" s="105"/>
      <c r="I515" s="105"/>
      <c r="J515" s="105"/>
      <c r="K515" s="105"/>
      <c r="L515" s="105"/>
      <c r="M515" s="108"/>
      <c r="N515" s="108"/>
    </row>
    <row r="516" spans="2:14">
      <c r="B516" s="107"/>
      <c r="C516" s="105"/>
      <c r="D516" s="105"/>
      <c r="E516" s="105"/>
      <c r="F516" s="105"/>
      <c r="G516" s="105"/>
      <c r="H516" s="105"/>
      <c r="I516" s="105"/>
      <c r="J516" s="105"/>
      <c r="K516" s="105"/>
      <c r="L516" s="105"/>
      <c r="M516" s="108"/>
      <c r="N516" s="108"/>
    </row>
    <row r="517" spans="2:14">
      <c r="B517" s="107"/>
      <c r="C517" s="105"/>
      <c r="D517" s="105"/>
      <c r="E517" s="105"/>
      <c r="F517" s="105"/>
      <c r="G517" s="105"/>
      <c r="H517" s="105"/>
      <c r="I517" s="105"/>
      <c r="J517" s="105"/>
      <c r="K517" s="105"/>
      <c r="L517" s="105"/>
      <c r="M517" s="108"/>
      <c r="N517" s="108"/>
    </row>
    <row r="518" spans="2:14">
      <c r="B518" s="107"/>
      <c r="C518" s="105"/>
      <c r="D518" s="105"/>
      <c r="E518" s="105"/>
      <c r="F518" s="105"/>
      <c r="G518" s="105"/>
      <c r="H518" s="105"/>
      <c r="I518" s="105"/>
      <c r="J518" s="105"/>
      <c r="K518" s="105"/>
      <c r="L518" s="105"/>
    </row>
    <row r="519" spans="2:14">
      <c r="B519" s="107"/>
      <c r="C519" s="105"/>
      <c r="D519" s="105"/>
      <c r="E519" s="105"/>
      <c r="F519" s="105"/>
      <c r="G519" s="105"/>
      <c r="H519" s="105"/>
      <c r="I519" s="105"/>
      <c r="J519" s="105"/>
      <c r="K519" s="105"/>
      <c r="L519" s="105"/>
    </row>
    <row r="520" spans="2:14">
      <c r="B520" s="107"/>
      <c r="C520" s="105"/>
      <c r="D520" s="105"/>
      <c r="E520" s="105"/>
      <c r="F520" s="105"/>
      <c r="G520" s="105"/>
      <c r="H520" s="105"/>
      <c r="I520" s="105"/>
      <c r="J520" s="105"/>
      <c r="K520" s="105"/>
      <c r="L520" s="105"/>
    </row>
    <row r="521" spans="2:14">
      <c r="B521" s="107"/>
      <c r="C521" s="105"/>
      <c r="D521" s="105"/>
      <c r="E521" s="105"/>
      <c r="F521" s="105"/>
      <c r="G521" s="105"/>
      <c r="H521" s="105"/>
      <c r="I521" s="105"/>
      <c r="J521" s="105"/>
      <c r="K521" s="105"/>
      <c r="L521" s="105"/>
    </row>
    <row r="522" spans="2:14">
      <c r="B522" s="107"/>
      <c r="C522" s="105"/>
      <c r="D522" s="105"/>
      <c r="E522" s="105"/>
      <c r="F522" s="105"/>
      <c r="G522" s="105"/>
      <c r="H522" s="105"/>
      <c r="I522" s="105"/>
      <c r="J522" s="105"/>
      <c r="K522" s="105"/>
      <c r="L522" s="105"/>
    </row>
    <row r="523" spans="2:14">
      <c r="B523" s="107"/>
      <c r="C523" s="105"/>
      <c r="D523" s="105"/>
      <c r="E523" s="105"/>
      <c r="F523" s="105"/>
      <c r="G523" s="105"/>
      <c r="H523" s="105"/>
      <c r="I523" s="105"/>
      <c r="J523" s="105"/>
      <c r="K523" s="105"/>
      <c r="L523" s="105"/>
    </row>
    <row r="524" spans="2:14">
      <c r="B524" s="107"/>
      <c r="C524" s="105"/>
      <c r="D524" s="105"/>
      <c r="E524" s="105"/>
      <c r="F524" s="105"/>
      <c r="G524" s="105"/>
      <c r="H524" s="105"/>
      <c r="I524" s="105"/>
      <c r="J524" s="105"/>
      <c r="K524" s="105"/>
      <c r="L524" s="105"/>
    </row>
    <row r="525" spans="2:14">
      <c r="B525" s="107"/>
      <c r="C525" s="105"/>
      <c r="D525" s="105"/>
      <c r="E525" s="105"/>
      <c r="F525" s="105"/>
      <c r="G525" s="105"/>
      <c r="H525" s="105"/>
      <c r="I525" s="105"/>
      <c r="J525" s="105"/>
      <c r="K525" s="105"/>
      <c r="L525" s="105"/>
    </row>
    <row r="526" spans="2:14">
      <c r="B526" s="107"/>
      <c r="C526" s="105"/>
      <c r="D526" s="105"/>
      <c r="E526" s="105"/>
      <c r="F526" s="105"/>
      <c r="G526" s="105"/>
      <c r="H526" s="105"/>
      <c r="I526" s="105"/>
      <c r="J526" s="105"/>
      <c r="K526" s="105"/>
      <c r="L526" s="105"/>
    </row>
    <row r="527" spans="2:14">
      <c r="B527" s="107"/>
      <c r="C527" s="105"/>
      <c r="D527" s="105"/>
      <c r="E527" s="105"/>
      <c r="F527" s="105"/>
      <c r="G527" s="105"/>
      <c r="H527" s="105"/>
      <c r="I527" s="105"/>
      <c r="J527" s="105"/>
      <c r="K527" s="105"/>
      <c r="L527" s="105"/>
    </row>
    <row r="528" spans="2:14">
      <c r="B528" s="107"/>
      <c r="C528" s="105"/>
      <c r="D528" s="105"/>
      <c r="E528" s="105"/>
      <c r="F528" s="105"/>
      <c r="G528" s="105"/>
      <c r="H528" s="105"/>
      <c r="I528" s="105"/>
      <c r="J528" s="105"/>
      <c r="K528" s="105"/>
      <c r="L528" s="105"/>
    </row>
    <row r="529" spans="2:2" s="105" customFormat="1">
      <c r="B529" s="107"/>
    </row>
    <row r="530" spans="2:2" s="105" customFormat="1">
      <c r="B530" s="107"/>
    </row>
    <row r="531" spans="2:2" s="105" customFormat="1">
      <c r="B531" s="107"/>
    </row>
    <row r="532" spans="2:2" s="105" customFormat="1">
      <c r="B532" s="107"/>
    </row>
    <row r="533" spans="2:2" s="105" customFormat="1">
      <c r="B533" s="107"/>
    </row>
    <row r="534" spans="2:2" s="105" customFormat="1">
      <c r="B534" s="107"/>
    </row>
    <row r="535" spans="2:2" s="105" customFormat="1">
      <c r="B535" s="107"/>
    </row>
    <row r="536" spans="2:2" s="105" customFormat="1">
      <c r="B536" s="107"/>
    </row>
    <row r="537" spans="2:2" s="105" customFormat="1">
      <c r="B537" s="107"/>
    </row>
    <row r="538" spans="2:2" s="105" customFormat="1">
      <c r="B538" s="107"/>
    </row>
    <row r="539" spans="2:2" s="105" customFormat="1">
      <c r="B539" s="107"/>
    </row>
    <row r="540" spans="2:2" s="105" customFormat="1">
      <c r="B540" s="107"/>
    </row>
    <row r="541" spans="2:2" s="105" customFormat="1">
      <c r="B541" s="107"/>
    </row>
    <row r="542" spans="2:2" s="105" customFormat="1">
      <c r="B542" s="107"/>
    </row>
    <row r="543" spans="2:2" s="105" customFormat="1">
      <c r="B543" s="107"/>
    </row>
    <row r="544" spans="2:2" s="105" customFormat="1">
      <c r="B544" s="107"/>
    </row>
    <row r="545" spans="2:2" s="105" customFormat="1">
      <c r="B545" s="107"/>
    </row>
    <row r="546" spans="2:2" s="105" customFormat="1">
      <c r="B546" s="107"/>
    </row>
    <row r="547" spans="2:2" s="105" customFormat="1">
      <c r="B547" s="107"/>
    </row>
    <row r="548" spans="2:2" s="105" customFormat="1">
      <c r="B548" s="107"/>
    </row>
    <row r="549" spans="2:2" s="105" customFormat="1">
      <c r="B549" s="107"/>
    </row>
    <row r="550" spans="2:2" s="105" customFormat="1">
      <c r="B550" s="107"/>
    </row>
    <row r="551" spans="2:2" s="105" customFormat="1">
      <c r="B551" s="107"/>
    </row>
    <row r="552" spans="2:2" s="105" customFormat="1">
      <c r="B552" s="107"/>
    </row>
    <row r="553" spans="2:2" s="105" customFormat="1">
      <c r="B553" s="107"/>
    </row>
    <row r="554" spans="2:2" s="105" customFormat="1">
      <c r="B554" s="107"/>
    </row>
    <row r="555" spans="2:2" s="105" customFormat="1">
      <c r="B555" s="107"/>
    </row>
    <row r="556" spans="2:2" s="105" customFormat="1">
      <c r="B556" s="107"/>
    </row>
    <row r="557" spans="2:2" s="105" customFormat="1">
      <c r="B557" s="107"/>
    </row>
    <row r="558" spans="2:2" s="105" customFormat="1">
      <c r="B558" s="107"/>
    </row>
    <row r="559" spans="2:2" s="105" customFormat="1">
      <c r="B559" s="107"/>
    </row>
    <row r="560" spans="2:2" s="105" customFormat="1">
      <c r="B560" s="107"/>
    </row>
    <row r="561" spans="2:2" s="105" customFormat="1">
      <c r="B561" s="107"/>
    </row>
    <row r="562" spans="2:2" s="105" customFormat="1">
      <c r="B562" s="107"/>
    </row>
    <row r="563" spans="2:2" s="105" customFormat="1">
      <c r="B563" s="107"/>
    </row>
    <row r="564" spans="2:2" s="105" customFormat="1">
      <c r="B564" s="107"/>
    </row>
    <row r="565" spans="2:2" s="105" customFormat="1">
      <c r="B565" s="107"/>
    </row>
    <row r="566" spans="2:2" s="105" customFormat="1">
      <c r="B566" s="107"/>
    </row>
    <row r="567" spans="2:2" s="105" customFormat="1">
      <c r="B567" s="107"/>
    </row>
    <row r="568" spans="2:2" s="105" customFormat="1">
      <c r="B568" s="107"/>
    </row>
    <row r="569" spans="2:2" s="105" customFormat="1">
      <c r="B569" s="107"/>
    </row>
    <row r="570" spans="2:2" s="105" customFormat="1">
      <c r="B570" s="107"/>
    </row>
    <row r="571" spans="2:2" s="105" customFormat="1">
      <c r="B571" s="107"/>
    </row>
    <row r="572" spans="2:2" s="105" customFormat="1">
      <c r="B572" s="107"/>
    </row>
    <row r="573" spans="2:2" s="105" customFormat="1">
      <c r="B573" s="107"/>
    </row>
    <row r="574" spans="2:2" s="105" customFormat="1">
      <c r="B574" s="107"/>
    </row>
    <row r="575" spans="2:2" s="105" customFormat="1">
      <c r="B575" s="107"/>
    </row>
    <row r="576" spans="2:2" s="105" customFormat="1">
      <c r="B576" s="107"/>
    </row>
    <row r="577" spans="2:2" s="105" customFormat="1">
      <c r="B577" s="107"/>
    </row>
    <row r="578" spans="2:2" s="105" customFormat="1">
      <c r="B578" s="107"/>
    </row>
    <row r="579" spans="2:2" s="105" customFormat="1">
      <c r="B579" s="107"/>
    </row>
    <row r="580" spans="2:2" s="105" customFormat="1">
      <c r="B580" s="107"/>
    </row>
    <row r="581" spans="2:2" s="105" customFormat="1">
      <c r="B581" s="107"/>
    </row>
    <row r="582" spans="2:2" s="105" customFormat="1">
      <c r="B582" s="107"/>
    </row>
    <row r="583" spans="2:2" s="105" customFormat="1">
      <c r="B583" s="107"/>
    </row>
    <row r="584" spans="2:2" s="105" customFormat="1">
      <c r="B584" s="107"/>
    </row>
    <row r="585" spans="2:2" s="105" customFormat="1">
      <c r="B585" s="107"/>
    </row>
    <row r="586" spans="2:2" s="105" customFormat="1">
      <c r="B586" s="107"/>
    </row>
    <row r="587" spans="2:2" s="105" customFormat="1">
      <c r="B587" s="107"/>
    </row>
    <row r="588" spans="2:2" s="105" customFormat="1">
      <c r="B588" s="107"/>
    </row>
    <row r="589" spans="2:2" s="105" customFormat="1">
      <c r="B589" s="107"/>
    </row>
    <row r="590" spans="2:2" s="105" customFormat="1">
      <c r="B590" s="107"/>
    </row>
    <row r="591" spans="2:2" s="105" customFormat="1">
      <c r="B591" s="107"/>
    </row>
    <row r="592" spans="2:2" s="105" customFormat="1">
      <c r="B592" s="107"/>
    </row>
    <row r="593" spans="2:2" s="105" customFormat="1">
      <c r="B593" s="107"/>
    </row>
    <row r="594" spans="2:2" s="105" customFormat="1">
      <c r="B594" s="107"/>
    </row>
    <row r="595" spans="2:2" s="105" customFormat="1">
      <c r="B595" s="107"/>
    </row>
    <row r="596" spans="2:2" s="105" customFormat="1">
      <c r="B596" s="107"/>
    </row>
    <row r="597" spans="2:2" s="105" customFormat="1">
      <c r="B597" s="107"/>
    </row>
    <row r="598" spans="2:2" s="105" customFormat="1">
      <c r="B598" s="107"/>
    </row>
    <row r="599" spans="2:2" s="105" customFormat="1">
      <c r="B599" s="107"/>
    </row>
    <row r="600" spans="2:2" s="105" customFormat="1">
      <c r="B600" s="107"/>
    </row>
    <row r="601" spans="2:2" s="105" customFormat="1">
      <c r="B601" s="107"/>
    </row>
    <row r="602" spans="2:2" s="105" customFormat="1">
      <c r="B602" s="107"/>
    </row>
    <row r="603" spans="2:2" s="105" customFormat="1">
      <c r="B603" s="107"/>
    </row>
    <row r="604" spans="2:2" s="105" customFormat="1">
      <c r="B604" s="107"/>
    </row>
    <row r="605" spans="2:2" s="105" customFormat="1">
      <c r="B605" s="107"/>
    </row>
    <row r="606" spans="2:2" s="105" customFormat="1">
      <c r="B606" s="107"/>
    </row>
    <row r="607" spans="2:2" s="105" customFormat="1">
      <c r="B607" s="107"/>
    </row>
    <row r="608" spans="2:2" s="105" customFormat="1">
      <c r="B608" s="107"/>
    </row>
    <row r="609" spans="2:2" s="105" customFormat="1">
      <c r="B609" s="107"/>
    </row>
    <row r="610" spans="2:2" s="105" customFormat="1">
      <c r="B610" s="107"/>
    </row>
    <row r="611" spans="2:2" s="105" customFormat="1">
      <c r="B611" s="107"/>
    </row>
    <row r="612" spans="2:2" s="105" customFormat="1">
      <c r="B612" s="107"/>
    </row>
    <row r="613" spans="2:2" s="105" customFormat="1">
      <c r="B613" s="107"/>
    </row>
    <row r="614" spans="2:2" s="105" customFormat="1">
      <c r="B614" s="107"/>
    </row>
    <row r="615" spans="2:2" s="105" customFormat="1">
      <c r="B615" s="107"/>
    </row>
    <row r="616" spans="2:2" s="105" customFormat="1">
      <c r="B616" s="107"/>
    </row>
    <row r="617" spans="2:2" s="105" customFormat="1">
      <c r="B617" s="107"/>
    </row>
    <row r="618" spans="2:2" s="105" customFormat="1">
      <c r="B618" s="107"/>
    </row>
    <row r="619" spans="2:2" s="105" customFormat="1">
      <c r="B619" s="107"/>
    </row>
    <row r="620" spans="2:2" s="105" customFormat="1">
      <c r="B620" s="107"/>
    </row>
    <row r="621" spans="2:2" s="105" customFormat="1">
      <c r="B621" s="107"/>
    </row>
    <row r="622" spans="2:2" s="105" customFormat="1">
      <c r="B622" s="107"/>
    </row>
    <row r="623" spans="2:2" s="105" customFormat="1">
      <c r="B623" s="107"/>
    </row>
    <row r="624" spans="2:2" s="105" customFormat="1">
      <c r="B624" s="107"/>
    </row>
    <row r="625" spans="2:2" s="105" customFormat="1">
      <c r="B625" s="107"/>
    </row>
    <row r="626" spans="2:2" s="105" customFormat="1">
      <c r="B626" s="107"/>
    </row>
    <row r="627" spans="2:2" s="105" customFormat="1">
      <c r="B627" s="107"/>
    </row>
    <row r="628" spans="2:2" s="105" customFormat="1">
      <c r="B628" s="107"/>
    </row>
    <row r="629" spans="2:2" s="105" customFormat="1">
      <c r="B629" s="107"/>
    </row>
    <row r="630" spans="2:2" s="105" customFormat="1">
      <c r="B630" s="107"/>
    </row>
    <row r="631" spans="2:2" s="105" customFormat="1">
      <c r="B631" s="107"/>
    </row>
    <row r="632" spans="2:2" s="105" customFormat="1">
      <c r="B632" s="107"/>
    </row>
    <row r="633" spans="2:2" s="105" customFormat="1">
      <c r="B633" s="107"/>
    </row>
    <row r="634" spans="2:2" s="105" customFormat="1">
      <c r="B634" s="107"/>
    </row>
    <row r="635" spans="2:2" s="105" customFormat="1">
      <c r="B635" s="107"/>
    </row>
    <row r="636" spans="2:2" s="105" customFormat="1">
      <c r="B636" s="107"/>
    </row>
    <row r="637" spans="2:2" s="105" customFormat="1">
      <c r="B637" s="107"/>
    </row>
    <row r="638" spans="2:2" s="105" customFormat="1">
      <c r="B638" s="107"/>
    </row>
    <row r="639" spans="2:2" s="105" customFormat="1">
      <c r="B639" s="107"/>
    </row>
    <row r="640" spans="2:2" s="105" customFormat="1">
      <c r="B640" s="107"/>
    </row>
    <row r="641" spans="2:2" s="105" customFormat="1">
      <c r="B641" s="107"/>
    </row>
    <row r="642" spans="2:2" s="105" customFormat="1">
      <c r="B642" s="107"/>
    </row>
    <row r="643" spans="2:2" s="105" customFormat="1">
      <c r="B643" s="107"/>
    </row>
    <row r="644" spans="2:2" s="105" customFormat="1">
      <c r="B644" s="107"/>
    </row>
    <row r="645" spans="2:2" s="105" customFormat="1">
      <c r="B645" s="107"/>
    </row>
    <row r="646" spans="2:2" s="105" customFormat="1">
      <c r="B646" s="107"/>
    </row>
    <row r="647" spans="2:2" s="105" customFormat="1">
      <c r="B647" s="107"/>
    </row>
    <row r="648" spans="2:2" s="105" customFormat="1">
      <c r="B648" s="107"/>
    </row>
    <row r="649" spans="2:2" s="105" customFormat="1">
      <c r="B649" s="107"/>
    </row>
    <row r="650" spans="2:2" s="105" customFormat="1">
      <c r="B650" s="107"/>
    </row>
    <row r="651" spans="2:2" s="105" customFormat="1">
      <c r="B651" s="107"/>
    </row>
    <row r="652" spans="2:2" s="105" customFormat="1">
      <c r="B652" s="107"/>
    </row>
    <row r="653" spans="2:2" s="105" customFormat="1">
      <c r="B653" s="107"/>
    </row>
    <row r="654" spans="2:2" s="105" customFormat="1">
      <c r="B654" s="107"/>
    </row>
    <row r="655" spans="2:2" s="105" customFormat="1">
      <c r="B655" s="107"/>
    </row>
    <row r="656" spans="2:2" s="105" customFormat="1">
      <c r="B656" s="107"/>
    </row>
    <row r="657" spans="2:2" s="105" customFormat="1">
      <c r="B657" s="107"/>
    </row>
    <row r="658" spans="2:2" s="105" customFormat="1">
      <c r="B658" s="107"/>
    </row>
    <row r="659" spans="2:2" s="105" customFormat="1">
      <c r="B659" s="107"/>
    </row>
    <row r="660" spans="2:2" s="105" customFormat="1">
      <c r="B660" s="107"/>
    </row>
    <row r="661" spans="2:2" s="105" customFormat="1">
      <c r="B661" s="107"/>
    </row>
    <row r="662" spans="2:2" s="105" customFormat="1">
      <c r="B662" s="107"/>
    </row>
    <row r="663" spans="2:2" s="105" customFormat="1">
      <c r="B663" s="107"/>
    </row>
    <row r="664" spans="2:2" s="105" customFormat="1">
      <c r="B664" s="107"/>
    </row>
    <row r="665" spans="2:2" s="105" customFormat="1">
      <c r="B665" s="107"/>
    </row>
    <row r="666" spans="2:2" s="105" customFormat="1">
      <c r="B666" s="107"/>
    </row>
    <row r="667" spans="2:2" s="105" customFormat="1">
      <c r="B667" s="107"/>
    </row>
    <row r="668" spans="2:2" s="105" customFormat="1">
      <c r="B668" s="107"/>
    </row>
    <row r="669" spans="2:2" s="105" customFormat="1">
      <c r="B669" s="107"/>
    </row>
    <row r="670" spans="2:2" s="105" customFormat="1">
      <c r="B670" s="107"/>
    </row>
    <row r="671" spans="2:2" s="105" customFormat="1">
      <c r="B671" s="107"/>
    </row>
    <row r="672" spans="2:2" s="105" customFormat="1">
      <c r="B672" s="107"/>
    </row>
    <row r="673" spans="2:2" s="105" customFormat="1">
      <c r="B673" s="107"/>
    </row>
    <row r="674" spans="2:2" s="105" customFormat="1">
      <c r="B674" s="107"/>
    </row>
    <row r="675" spans="2:2" s="105" customFormat="1">
      <c r="B675" s="107"/>
    </row>
    <row r="676" spans="2:2" s="105" customFormat="1">
      <c r="B676" s="107"/>
    </row>
    <row r="677" spans="2:2" s="105" customFormat="1">
      <c r="B677" s="107"/>
    </row>
    <row r="678" spans="2:2" s="105" customFormat="1">
      <c r="B678" s="107"/>
    </row>
    <row r="679" spans="2:2" s="105" customFormat="1">
      <c r="B679" s="107"/>
    </row>
    <row r="680" spans="2:2" s="105" customFormat="1">
      <c r="B680" s="107"/>
    </row>
    <row r="681" spans="2:2" s="105" customFormat="1">
      <c r="B681" s="107"/>
    </row>
    <row r="682" spans="2:2" s="105" customFormat="1">
      <c r="B682" s="107"/>
    </row>
    <row r="683" spans="2:2" s="105" customFormat="1">
      <c r="B683" s="107"/>
    </row>
    <row r="684" spans="2:2" s="105" customFormat="1">
      <c r="B684" s="107"/>
    </row>
    <row r="685" spans="2:2" s="105" customFormat="1">
      <c r="B685" s="107"/>
    </row>
    <row r="686" spans="2:2" s="105" customFormat="1">
      <c r="B686" s="107"/>
    </row>
    <row r="687" spans="2:2" s="105" customFormat="1">
      <c r="B687" s="107"/>
    </row>
    <row r="688" spans="2:2" s="105" customFormat="1">
      <c r="B688" s="107"/>
    </row>
    <row r="689" spans="2:2" s="105" customFormat="1">
      <c r="B689" s="107"/>
    </row>
    <row r="690" spans="2:2" s="105" customFormat="1">
      <c r="B690" s="107"/>
    </row>
    <row r="691" spans="2:2" s="105" customFormat="1">
      <c r="B691" s="107"/>
    </row>
    <row r="692" spans="2:2" s="105" customFormat="1">
      <c r="B692" s="107"/>
    </row>
    <row r="693" spans="2:2" s="105" customFormat="1">
      <c r="B693" s="107"/>
    </row>
    <row r="694" spans="2:2" s="105" customFormat="1">
      <c r="B694" s="107"/>
    </row>
    <row r="695" spans="2:2" s="105" customFormat="1">
      <c r="B695" s="107"/>
    </row>
    <row r="696" spans="2:2" s="105" customFormat="1">
      <c r="B696" s="107"/>
    </row>
    <row r="697" spans="2:2" s="105" customFormat="1">
      <c r="B697" s="107"/>
    </row>
    <row r="698" spans="2:2" s="105" customFormat="1">
      <c r="B698" s="107"/>
    </row>
    <row r="699" spans="2:2" s="105" customFormat="1">
      <c r="B699" s="107"/>
    </row>
    <row r="700" spans="2:2" s="105" customFormat="1">
      <c r="B700" s="107"/>
    </row>
    <row r="701" spans="2:2" s="105" customFormat="1">
      <c r="B701" s="107"/>
    </row>
    <row r="702" spans="2:2" s="105" customFormat="1">
      <c r="B702" s="107"/>
    </row>
    <row r="703" spans="2:2" s="105" customFormat="1">
      <c r="B703" s="107"/>
    </row>
    <row r="704" spans="2:2" s="105" customFormat="1">
      <c r="B704" s="107"/>
    </row>
    <row r="705" spans="2:2" s="105" customFormat="1">
      <c r="B705" s="107"/>
    </row>
    <row r="706" spans="2:2" s="105" customFormat="1">
      <c r="B706" s="107"/>
    </row>
    <row r="707" spans="2:2" s="105" customFormat="1">
      <c r="B707" s="107"/>
    </row>
    <row r="708" spans="2:2" s="105" customFormat="1">
      <c r="B708" s="107"/>
    </row>
    <row r="709" spans="2:2" s="105" customFormat="1">
      <c r="B709" s="107"/>
    </row>
    <row r="710" spans="2:2" s="105" customFormat="1">
      <c r="B710" s="107"/>
    </row>
    <row r="711" spans="2:2" s="105" customFormat="1">
      <c r="B711" s="107"/>
    </row>
    <row r="712" spans="2:2" s="105" customFormat="1">
      <c r="B712" s="107"/>
    </row>
    <row r="713" spans="2:2" s="105" customFormat="1">
      <c r="B713" s="107"/>
    </row>
    <row r="714" spans="2:2" s="105" customFormat="1">
      <c r="B714" s="107"/>
    </row>
    <row r="715" spans="2:2" s="105" customFormat="1">
      <c r="B715" s="107"/>
    </row>
    <row r="716" spans="2:2" s="105" customFormat="1">
      <c r="B716" s="107"/>
    </row>
    <row r="717" spans="2:2" s="105" customFormat="1">
      <c r="B717" s="107"/>
    </row>
    <row r="718" spans="2:2" s="105" customFormat="1">
      <c r="B718" s="107"/>
    </row>
    <row r="719" spans="2:2" s="105" customFormat="1">
      <c r="B719" s="107"/>
    </row>
    <row r="720" spans="2:2" s="105" customFormat="1">
      <c r="B720" s="107"/>
    </row>
    <row r="721" spans="2:5" s="105" customFormat="1">
      <c r="B721" s="107"/>
    </row>
    <row r="722" spans="2:5" s="105" customFormat="1">
      <c r="B722" s="107"/>
    </row>
    <row r="723" spans="2:5" s="105" customFormat="1">
      <c r="B723" s="107"/>
    </row>
    <row r="724" spans="2:5" s="105" customFormat="1">
      <c r="B724" s="107"/>
    </row>
    <row r="725" spans="2:5" s="105" customFormat="1">
      <c r="B725" s="107"/>
    </row>
    <row r="726" spans="2:5" s="105" customFormat="1">
      <c r="B726" s="107"/>
    </row>
    <row r="727" spans="2:5" s="105" customFormat="1">
      <c r="B727" s="107"/>
    </row>
    <row r="728" spans="2:5" s="105" customFormat="1">
      <c r="B728" s="107"/>
    </row>
    <row r="729" spans="2:5" s="105" customFormat="1">
      <c r="B729" s="107"/>
    </row>
    <row r="730" spans="2:5" s="105" customFormat="1">
      <c r="B730" s="107"/>
    </row>
    <row r="731" spans="2:5" s="105" customFormat="1">
      <c r="B731" s="107"/>
      <c r="E731" s="105">
        <v>0</v>
      </c>
    </row>
    <row r="732" spans="2:5" s="105" customFormat="1">
      <c r="B732" s="107"/>
    </row>
    <row r="733" spans="2:5" s="105" customFormat="1">
      <c r="B733" s="107"/>
    </row>
    <row r="734" spans="2:5" s="105" customFormat="1">
      <c r="B734" s="107"/>
    </row>
    <row r="735" spans="2:5" s="105" customFormat="1">
      <c r="B735" s="107"/>
    </row>
    <row r="736" spans="2:5" s="105" customFormat="1">
      <c r="B736" s="107"/>
    </row>
    <row r="737" spans="2:2" s="105" customFormat="1">
      <c r="B737" s="107"/>
    </row>
    <row r="738" spans="2:2" s="105" customFormat="1">
      <c r="B738" s="107"/>
    </row>
    <row r="739" spans="2:2" s="105" customFormat="1">
      <c r="B739" s="107"/>
    </row>
    <row r="740" spans="2:2" s="105" customFormat="1">
      <c r="B740" s="107"/>
    </row>
    <row r="741" spans="2:2" s="105" customFormat="1">
      <c r="B741" s="107"/>
    </row>
    <row r="742" spans="2:2" s="105" customFormat="1">
      <c r="B742" s="107"/>
    </row>
    <row r="743" spans="2:2" s="105" customFormat="1">
      <c r="B743" s="107"/>
    </row>
    <row r="744" spans="2:2" s="105" customFormat="1">
      <c r="B744" s="107"/>
    </row>
    <row r="745" spans="2:2" s="105" customFormat="1">
      <c r="B745" s="107"/>
    </row>
    <row r="746" spans="2:2" s="105" customFormat="1">
      <c r="B746" s="107"/>
    </row>
    <row r="747" spans="2:2" s="105" customFormat="1">
      <c r="B747" s="107"/>
    </row>
    <row r="748" spans="2:2" s="105" customFormat="1">
      <c r="B748" s="107"/>
    </row>
    <row r="749" spans="2:2" s="105" customFormat="1">
      <c r="B749" s="107"/>
    </row>
    <row r="750" spans="2:2" s="105" customFormat="1">
      <c r="B750" s="107"/>
    </row>
    <row r="751" spans="2:2" s="105" customFormat="1">
      <c r="B751" s="107"/>
    </row>
    <row r="752" spans="2:2" s="105" customFormat="1">
      <c r="B752" s="107"/>
    </row>
    <row r="753" spans="2:2" s="105" customFormat="1">
      <c r="B753" s="107"/>
    </row>
    <row r="754" spans="2:2" s="105" customFormat="1">
      <c r="B754" s="107"/>
    </row>
    <row r="755" spans="2:2" s="105" customFormat="1">
      <c r="B755" s="107"/>
    </row>
    <row r="756" spans="2:2" s="105" customFormat="1">
      <c r="B756" s="107"/>
    </row>
    <row r="757" spans="2:2" s="105" customFormat="1">
      <c r="B757" s="107"/>
    </row>
    <row r="758" spans="2:2" s="105" customFormat="1">
      <c r="B758" s="107"/>
    </row>
    <row r="759" spans="2:2" s="105" customFormat="1">
      <c r="B759" s="107"/>
    </row>
    <row r="760" spans="2:2" s="105" customFormat="1">
      <c r="B760" s="107"/>
    </row>
    <row r="761" spans="2:2" s="105" customFormat="1">
      <c r="B761" s="107"/>
    </row>
    <row r="762" spans="2:2" s="105" customFormat="1">
      <c r="B762" s="107"/>
    </row>
    <row r="763" spans="2:2" s="105" customFormat="1">
      <c r="B763" s="107"/>
    </row>
    <row r="764" spans="2:2" s="105" customFormat="1">
      <c r="B764" s="107"/>
    </row>
    <row r="765" spans="2:2" s="105" customFormat="1">
      <c r="B765" s="107"/>
    </row>
    <row r="766" spans="2:2" s="105" customFormat="1">
      <c r="B766" s="107"/>
    </row>
    <row r="767" spans="2:2" s="105" customFormat="1">
      <c r="B767" s="107"/>
    </row>
    <row r="768" spans="2:2" s="105" customFormat="1">
      <c r="B768" s="107"/>
    </row>
    <row r="769" spans="2:2" s="105" customFormat="1">
      <c r="B769" s="107"/>
    </row>
    <row r="770" spans="2:2" s="105" customFormat="1">
      <c r="B770" s="107"/>
    </row>
    <row r="771" spans="2:2" s="105" customFormat="1">
      <c r="B771" s="107"/>
    </row>
    <row r="772" spans="2:2" s="105" customFormat="1">
      <c r="B772" s="107"/>
    </row>
    <row r="773" spans="2:2" s="105" customFormat="1">
      <c r="B773" s="107"/>
    </row>
    <row r="774" spans="2:2" s="105" customFormat="1">
      <c r="B774" s="107"/>
    </row>
    <row r="775" spans="2:2" s="105" customFormat="1">
      <c r="B775" s="107"/>
    </row>
    <row r="776" spans="2:2" s="105" customFormat="1">
      <c r="B776" s="107"/>
    </row>
    <row r="777" spans="2:2" s="105" customFormat="1">
      <c r="B777" s="107"/>
    </row>
    <row r="778" spans="2:2" s="105" customFormat="1">
      <c r="B778" s="107"/>
    </row>
    <row r="779" spans="2:2" s="105" customFormat="1">
      <c r="B779" s="107"/>
    </row>
    <row r="780" spans="2:2" s="105" customFormat="1">
      <c r="B780" s="107"/>
    </row>
    <row r="781" spans="2:2" s="105" customFormat="1">
      <c r="B781" s="107"/>
    </row>
    <row r="782" spans="2:2" s="105" customFormat="1">
      <c r="B782" s="107"/>
    </row>
    <row r="783" spans="2:2" s="105" customFormat="1">
      <c r="B783" s="107"/>
    </row>
    <row r="784" spans="2:2" s="105" customFormat="1">
      <c r="B784" s="107"/>
    </row>
    <row r="785" spans="2:2" s="105" customFormat="1">
      <c r="B785" s="107"/>
    </row>
    <row r="786" spans="2:2" s="105" customFormat="1">
      <c r="B786" s="107"/>
    </row>
    <row r="787" spans="2:2" s="105" customFormat="1">
      <c r="B787" s="107"/>
    </row>
    <row r="788" spans="2:2" s="105" customFormat="1">
      <c r="B788" s="107"/>
    </row>
    <row r="789" spans="2:2" s="105" customFormat="1">
      <c r="B789" s="107"/>
    </row>
    <row r="790" spans="2:2" s="105" customFormat="1">
      <c r="B790" s="107"/>
    </row>
    <row r="791" spans="2:2" s="105" customFormat="1">
      <c r="B791" s="107"/>
    </row>
    <row r="792" spans="2:2" s="105" customFormat="1">
      <c r="B792" s="107"/>
    </row>
    <row r="793" spans="2:2" s="105" customFormat="1">
      <c r="B793" s="107"/>
    </row>
    <row r="794" spans="2:2" s="105" customFormat="1">
      <c r="B794" s="107"/>
    </row>
    <row r="795" spans="2:2" s="105" customFormat="1">
      <c r="B795" s="107"/>
    </row>
    <row r="796" spans="2:2" s="105" customFormat="1">
      <c r="B796" s="107"/>
    </row>
    <row r="797" spans="2:2" s="105" customFormat="1">
      <c r="B797" s="107"/>
    </row>
    <row r="798" spans="2:2" s="105" customFormat="1">
      <c r="B798" s="107"/>
    </row>
    <row r="799" spans="2:2" s="105" customFormat="1">
      <c r="B799" s="107"/>
    </row>
    <row r="800" spans="2:2" s="105" customFormat="1">
      <c r="B800" s="107"/>
    </row>
    <row r="801" spans="2:2" s="105" customFormat="1">
      <c r="B801" s="107"/>
    </row>
    <row r="802" spans="2:2" s="105" customFormat="1">
      <c r="B802" s="107"/>
    </row>
    <row r="803" spans="2:2" s="105" customFormat="1">
      <c r="B803" s="107"/>
    </row>
    <row r="804" spans="2:2" s="105" customFormat="1">
      <c r="B804" s="107"/>
    </row>
    <row r="805" spans="2:2" s="105" customFormat="1">
      <c r="B805" s="107"/>
    </row>
    <row r="806" spans="2:2" s="105" customFormat="1">
      <c r="B806" s="107"/>
    </row>
    <row r="807" spans="2:2" s="105" customFormat="1">
      <c r="B807" s="107"/>
    </row>
    <row r="808" spans="2:2" s="105" customFormat="1">
      <c r="B808" s="107"/>
    </row>
    <row r="809" spans="2:2" s="105" customFormat="1">
      <c r="B809" s="107"/>
    </row>
    <row r="810" spans="2:2" s="105" customFormat="1">
      <c r="B810" s="107"/>
    </row>
    <row r="811" spans="2:2" s="105" customFormat="1">
      <c r="B811" s="107"/>
    </row>
    <row r="812" spans="2:2" s="105" customFormat="1">
      <c r="B812" s="107"/>
    </row>
    <row r="813" spans="2:2" s="105" customFormat="1">
      <c r="B813" s="107"/>
    </row>
    <row r="814" spans="2:2" s="105" customFormat="1">
      <c r="B814" s="107"/>
    </row>
    <row r="815" spans="2:2" s="105" customFormat="1">
      <c r="B815" s="107"/>
    </row>
    <row r="816" spans="2:2" s="105" customFormat="1">
      <c r="B816" s="107"/>
    </row>
    <row r="817" spans="2:2" s="105" customFormat="1">
      <c r="B817" s="107"/>
    </row>
    <row r="818" spans="2:2" s="105" customFormat="1">
      <c r="B818" s="107"/>
    </row>
    <row r="819" spans="2:2" s="105" customFormat="1">
      <c r="B819" s="107"/>
    </row>
    <row r="820" spans="2:2" s="105" customFormat="1">
      <c r="B820" s="107"/>
    </row>
    <row r="821" spans="2:2" s="105" customFormat="1">
      <c r="B821" s="107"/>
    </row>
    <row r="822" spans="2:2" s="105" customFormat="1">
      <c r="B822" s="107"/>
    </row>
    <row r="823" spans="2:2" s="105" customFormat="1">
      <c r="B823" s="107"/>
    </row>
    <row r="824" spans="2:2" s="105" customFormat="1">
      <c r="B824" s="107"/>
    </row>
    <row r="825" spans="2:2" s="105" customFormat="1">
      <c r="B825" s="107"/>
    </row>
    <row r="826" spans="2:2" s="105" customFormat="1">
      <c r="B826" s="107"/>
    </row>
    <row r="827" spans="2:2" s="105" customFormat="1">
      <c r="B827" s="107"/>
    </row>
    <row r="828" spans="2:2" s="105" customFormat="1">
      <c r="B828" s="107"/>
    </row>
    <row r="829" spans="2:2" s="105" customFormat="1">
      <c r="B829" s="107"/>
    </row>
    <row r="830" spans="2:2" s="105" customFormat="1">
      <c r="B830" s="107"/>
    </row>
    <row r="831" spans="2:2" s="105" customFormat="1">
      <c r="B831" s="107"/>
    </row>
    <row r="832" spans="2:2" s="105" customFormat="1">
      <c r="B832" s="107"/>
    </row>
    <row r="833" spans="2:2" s="105" customFormat="1">
      <c r="B833" s="107"/>
    </row>
    <row r="834" spans="2:2" s="105" customFormat="1">
      <c r="B834" s="107"/>
    </row>
    <row r="835" spans="2:2" s="105" customFormat="1">
      <c r="B835" s="107"/>
    </row>
    <row r="836" spans="2:2" s="105" customFormat="1">
      <c r="B836" s="107"/>
    </row>
    <row r="837" spans="2:2" s="105" customFormat="1">
      <c r="B837" s="107"/>
    </row>
    <row r="838" spans="2:2" s="105" customFormat="1">
      <c r="B838" s="107"/>
    </row>
    <row r="839" spans="2:2" s="105" customFormat="1">
      <c r="B839" s="107"/>
    </row>
    <row r="840" spans="2:2" s="105" customFormat="1">
      <c r="B840" s="107"/>
    </row>
    <row r="841" spans="2:2" s="105" customFormat="1">
      <c r="B841" s="107"/>
    </row>
    <row r="842" spans="2:2" s="105" customFormat="1">
      <c r="B842" s="107"/>
    </row>
    <row r="843" spans="2:2" s="105" customFormat="1">
      <c r="B843" s="107"/>
    </row>
    <row r="844" spans="2:2" s="105" customFormat="1">
      <c r="B844" s="107"/>
    </row>
    <row r="845" spans="2:2" s="105" customFormat="1">
      <c r="B845" s="107"/>
    </row>
    <row r="846" spans="2:2" s="105" customFormat="1">
      <c r="B846" s="107"/>
    </row>
    <row r="847" spans="2:2" s="105" customFormat="1">
      <c r="B847" s="107"/>
    </row>
    <row r="848" spans="2:2" s="105" customFormat="1">
      <c r="B848" s="107"/>
    </row>
    <row r="849" spans="2:2" s="105" customFormat="1">
      <c r="B849" s="107"/>
    </row>
    <row r="850" spans="2:2" s="105" customFormat="1">
      <c r="B850" s="107"/>
    </row>
    <row r="851" spans="2:2" s="105" customFormat="1">
      <c r="B851" s="107"/>
    </row>
    <row r="852" spans="2:2" s="105" customFormat="1">
      <c r="B852" s="107"/>
    </row>
    <row r="853" spans="2:2" s="105" customFormat="1">
      <c r="B853" s="107"/>
    </row>
    <row r="854" spans="2:2" s="105" customFormat="1">
      <c r="B854" s="107"/>
    </row>
    <row r="855" spans="2:2" s="105" customFormat="1">
      <c r="B855" s="107"/>
    </row>
    <row r="856" spans="2:2" s="105" customFormat="1">
      <c r="B856" s="107"/>
    </row>
    <row r="857" spans="2:2" s="105" customFormat="1">
      <c r="B857" s="107"/>
    </row>
    <row r="858" spans="2:2" s="105" customFormat="1">
      <c r="B858" s="107"/>
    </row>
    <row r="859" spans="2:2" s="105" customFormat="1">
      <c r="B859" s="107"/>
    </row>
    <row r="860" spans="2:2" s="105" customFormat="1">
      <c r="B860" s="107"/>
    </row>
    <row r="861" spans="2:2" s="105" customFormat="1">
      <c r="B861" s="107"/>
    </row>
    <row r="862" spans="2:2" s="105" customFormat="1">
      <c r="B862" s="107"/>
    </row>
    <row r="863" spans="2:2" s="105" customFormat="1">
      <c r="B863" s="107"/>
    </row>
    <row r="864" spans="2:2" s="105" customFormat="1">
      <c r="B864" s="107"/>
    </row>
    <row r="865" spans="2:2" s="105" customFormat="1">
      <c r="B865" s="107"/>
    </row>
    <row r="866" spans="2:2" s="105" customFormat="1">
      <c r="B866" s="107"/>
    </row>
    <row r="867" spans="2:2" s="105" customFormat="1">
      <c r="B867" s="107"/>
    </row>
    <row r="868" spans="2:2" s="105" customFormat="1">
      <c r="B868" s="107"/>
    </row>
    <row r="869" spans="2:2" s="105" customFormat="1">
      <c r="B869" s="107"/>
    </row>
    <row r="870" spans="2:2" s="105" customFormat="1">
      <c r="B870" s="107"/>
    </row>
    <row r="871" spans="2:2" s="105" customFormat="1">
      <c r="B871" s="107"/>
    </row>
    <row r="872" spans="2:2" s="105" customFormat="1">
      <c r="B872" s="107"/>
    </row>
    <row r="873" spans="2:2" s="105" customFormat="1">
      <c r="B873" s="107"/>
    </row>
    <row r="874" spans="2:2" s="105" customFormat="1">
      <c r="B874" s="107"/>
    </row>
    <row r="875" spans="2:2" s="105" customFormat="1">
      <c r="B875" s="107"/>
    </row>
    <row r="876" spans="2:2" s="105" customFormat="1">
      <c r="B876" s="107"/>
    </row>
    <row r="877" spans="2:2" s="105" customFormat="1">
      <c r="B877" s="107"/>
    </row>
    <row r="878" spans="2:2" s="105" customFormat="1">
      <c r="B878" s="107"/>
    </row>
    <row r="879" spans="2:2" s="105" customFormat="1">
      <c r="B879" s="107"/>
    </row>
    <row r="880" spans="2:2" s="105" customFormat="1">
      <c r="B880" s="107"/>
    </row>
    <row r="881" spans="2:2" s="105" customFormat="1">
      <c r="B881" s="107"/>
    </row>
    <row r="882" spans="2:2" s="105" customFormat="1">
      <c r="B882" s="107"/>
    </row>
    <row r="883" spans="2:2" s="105" customFormat="1">
      <c r="B883" s="107"/>
    </row>
    <row r="884" spans="2:2" s="105" customFormat="1">
      <c r="B884" s="107"/>
    </row>
    <row r="885" spans="2:2" s="105" customFormat="1">
      <c r="B885" s="107"/>
    </row>
    <row r="886" spans="2:2" s="105" customFormat="1">
      <c r="B886" s="107"/>
    </row>
    <row r="887" spans="2:2" s="105" customFormat="1">
      <c r="B887" s="107"/>
    </row>
    <row r="888" spans="2:2" s="105" customFormat="1">
      <c r="B888" s="107"/>
    </row>
    <row r="889" spans="2:2" s="105" customFormat="1">
      <c r="B889" s="107"/>
    </row>
    <row r="890" spans="2:2" s="105" customFormat="1">
      <c r="B890" s="107"/>
    </row>
    <row r="891" spans="2:2" s="105" customFormat="1">
      <c r="B891" s="107"/>
    </row>
    <row r="892" spans="2:2" s="105" customFormat="1">
      <c r="B892" s="107"/>
    </row>
    <row r="893" spans="2:2" s="105" customFormat="1">
      <c r="B893" s="107"/>
    </row>
    <row r="894" spans="2:2" s="105" customFormat="1">
      <c r="B894" s="107"/>
    </row>
    <row r="895" spans="2:2" s="105" customFormat="1">
      <c r="B895" s="107"/>
    </row>
    <row r="896" spans="2:2" s="105" customFormat="1">
      <c r="B896" s="107"/>
    </row>
    <row r="897" spans="2:2" s="105" customFormat="1">
      <c r="B897" s="107"/>
    </row>
    <row r="898" spans="2:2" s="105" customFormat="1">
      <c r="B898" s="107"/>
    </row>
    <row r="899" spans="2:2" s="105" customFormat="1">
      <c r="B899" s="107"/>
    </row>
    <row r="900" spans="2:2" s="105" customFormat="1">
      <c r="B900" s="107"/>
    </row>
    <row r="901" spans="2:2" s="105" customFormat="1">
      <c r="B901" s="107"/>
    </row>
    <row r="902" spans="2:2" s="105" customFormat="1">
      <c r="B902" s="107"/>
    </row>
    <row r="903" spans="2:2" s="105" customFormat="1">
      <c r="B903" s="107"/>
    </row>
    <row r="904" spans="2:2" s="105" customFormat="1">
      <c r="B904" s="107"/>
    </row>
    <row r="905" spans="2:2" s="105" customFormat="1">
      <c r="B905" s="107"/>
    </row>
    <row r="906" spans="2:2" s="105" customFormat="1">
      <c r="B906" s="107"/>
    </row>
    <row r="907" spans="2:2" s="105" customFormat="1">
      <c r="B907" s="107"/>
    </row>
    <row r="908" spans="2:2" s="105" customFormat="1">
      <c r="B908" s="107"/>
    </row>
    <row r="909" spans="2:2" s="105" customFormat="1">
      <c r="B909" s="107"/>
    </row>
    <row r="910" spans="2:2" s="105" customFormat="1">
      <c r="B910" s="107"/>
    </row>
    <row r="911" spans="2:2" s="105" customFormat="1">
      <c r="B911" s="107"/>
    </row>
    <row r="912" spans="2:2" s="105" customFormat="1">
      <c r="B912" s="107"/>
    </row>
    <row r="913" spans="2:2" s="105" customFormat="1">
      <c r="B913" s="107"/>
    </row>
    <row r="914" spans="2:2" s="105" customFormat="1">
      <c r="B914" s="107"/>
    </row>
    <row r="915" spans="2:2" s="105" customFormat="1">
      <c r="B915" s="107"/>
    </row>
    <row r="916" spans="2:2" s="105" customFormat="1">
      <c r="B916" s="107"/>
    </row>
    <row r="917" spans="2:2" s="105" customFormat="1">
      <c r="B917" s="107"/>
    </row>
    <row r="918" spans="2:2" s="105" customFormat="1">
      <c r="B918" s="107"/>
    </row>
    <row r="919" spans="2:2" s="105" customFormat="1">
      <c r="B919" s="107"/>
    </row>
    <row r="920" spans="2:2" s="105" customFormat="1">
      <c r="B920" s="107"/>
    </row>
    <row r="921" spans="2:2" s="105" customFormat="1">
      <c r="B921" s="107"/>
    </row>
    <row r="922" spans="2:2" s="105" customFormat="1">
      <c r="B922" s="107"/>
    </row>
    <row r="923" spans="2:2" s="105" customFormat="1">
      <c r="B923" s="107"/>
    </row>
    <row r="924" spans="2:2" s="105" customFormat="1">
      <c r="B924" s="107"/>
    </row>
    <row r="925" spans="2:2" s="105" customFormat="1">
      <c r="B925" s="107"/>
    </row>
    <row r="926" spans="2:2" s="105" customFormat="1">
      <c r="B926" s="107"/>
    </row>
    <row r="927" spans="2:2" s="105" customFormat="1">
      <c r="B927" s="107"/>
    </row>
    <row r="928" spans="2:2" s="105" customFormat="1">
      <c r="B928" s="107"/>
    </row>
    <row r="929" spans="2:2" s="105" customFormat="1">
      <c r="B929" s="107"/>
    </row>
    <row r="930" spans="2:2" s="105" customFormat="1">
      <c r="B930" s="107"/>
    </row>
    <row r="931" spans="2:2" s="105" customFormat="1">
      <c r="B931" s="107"/>
    </row>
    <row r="932" spans="2:2" s="105" customFormat="1">
      <c r="B932" s="107"/>
    </row>
    <row r="933" spans="2:2" s="105" customFormat="1">
      <c r="B933" s="107"/>
    </row>
    <row r="934" spans="2:2" s="105" customFormat="1">
      <c r="B934" s="107"/>
    </row>
    <row r="935" spans="2:2" s="105" customFormat="1">
      <c r="B935" s="107"/>
    </row>
    <row r="936" spans="2:2" s="105" customFormat="1">
      <c r="B936" s="107"/>
    </row>
    <row r="937" spans="2:2" s="105" customFormat="1">
      <c r="B937" s="107"/>
    </row>
    <row r="938" spans="2:2" s="105" customFormat="1">
      <c r="B938" s="107"/>
    </row>
    <row r="939" spans="2:2" s="105" customFormat="1">
      <c r="B939" s="107"/>
    </row>
    <row r="940" spans="2:2" s="105" customFormat="1">
      <c r="B940" s="107"/>
    </row>
    <row r="941" spans="2:2" s="105" customFormat="1">
      <c r="B941" s="107"/>
    </row>
    <row r="942" spans="2:2" s="105" customFormat="1">
      <c r="B942" s="107"/>
    </row>
    <row r="943" spans="2:2" s="105" customFormat="1">
      <c r="B943" s="107"/>
    </row>
    <row r="944" spans="2:2" s="105" customFormat="1">
      <c r="B944" s="107"/>
    </row>
    <row r="945" spans="2:2" s="105" customFormat="1">
      <c r="B945" s="107"/>
    </row>
    <row r="946" spans="2:2" s="105" customFormat="1">
      <c r="B946" s="107"/>
    </row>
    <row r="947" spans="2:2" s="105" customFormat="1">
      <c r="B947" s="107"/>
    </row>
    <row r="948" spans="2:2" s="105" customFormat="1">
      <c r="B948" s="107"/>
    </row>
    <row r="949" spans="2:2" s="105" customFormat="1">
      <c r="B949" s="107"/>
    </row>
    <row r="950" spans="2:2" s="105" customFormat="1">
      <c r="B950" s="107"/>
    </row>
    <row r="951" spans="2:2" s="105" customFormat="1">
      <c r="B951" s="107"/>
    </row>
    <row r="952" spans="2:2" s="105" customFormat="1">
      <c r="B952" s="107"/>
    </row>
    <row r="953" spans="2:2" s="105" customFormat="1">
      <c r="B953" s="107"/>
    </row>
    <row r="954" spans="2:2" s="105" customFormat="1">
      <c r="B954" s="107"/>
    </row>
    <row r="955" spans="2:2" s="105" customFormat="1">
      <c r="B955" s="107"/>
    </row>
    <row r="956" spans="2:2" s="105" customFormat="1">
      <c r="B956" s="107"/>
    </row>
    <row r="957" spans="2:2" s="105" customFormat="1">
      <c r="B957" s="107"/>
    </row>
    <row r="958" spans="2:2" s="105" customFormat="1">
      <c r="B958" s="107"/>
    </row>
    <row r="959" spans="2:2" s="105" customFormat="1">
      <c r="B959" s="107"/>
    </row>
    <row r="960" spans="2:2" s="105" customFormat="1">
      <c r="B960" s="107"/>
    </row>
    <row r="961" spans="2:2" s="105" customFormat="1">
      <c r="B961" s="107"/>
    </row>
    <row r="962" spans="2:2" s="105" customFormat="1">
      <c r="B962" s="107"/>
    </row>
    <row r="963" spans="2:2" s="105" customFormat="1">
      <c r="B963" s="107"/>
    </row>
    <row r="964" spans="2:2" s="105" customFormat="1">
      <c r="B964" s="107"/>
    </row>
    <row r="965" spans="2:2" s="105" customFormat="1">
      <c r="B965" s="107"/>
    </row>
    <row r="966" spans="2:2" s="105" customFormat="1">
      <c r="B966" s="107"/>
    </row>
    <row r="967" spans="2:2" s="105" customFormat="1">
      <c r="B967" s="107"/>
    </row>
    <row r="968" spans="2:2" s="105" customFormat="1">
      <c r="B968" s="107"/>
    </row>
    <row r="969" spans="2:2" s="105" customFormat="1">
      <c r="B969" s="107"/>
    </row>
    <row r="970" spans="2:2" s="105" customFormat="1">
      <c r="B970" s="107"/>
    </row>
    <row r="971" spans="2:2" s="105" customFormat="1">
      <c r="B971" s="107"/>
    </row>
    <row r="972" spans="2:2" s="105" customFormat="1">
      <c r="B972" s="107"/>
    </row>
    <row r="973" spans="2:2" s="105" customFormat="1">
      <c r="B973" s="107"/>
    </row>
    <row r="974" spans="2:2" s="105" customFormat="1">
      <c r="B974" s="107"/>
    </row>
    <row r="975" spans="2:2" s="105" customFormat="1">
      <c r="B975" s="107"/>
    </row>
    <row r="976" spans="2:2" s="105" customFormat="1">
      <c r="B976" s="107"/>
    </row>
    <row r="977" spans="2:2" s="105" customFormat="1">
      <c r="B977" s="107"/>
    </row>
    <row r="978" spans="2:2" s="105" customFormat="1">
      <c r="B978" s="107"/>
    </row>
    <row r="979" spans="2:2" s="105" customFormat="1">
      <c r="B979" s="107"/>
    </row>
    <row r="980" spans="2:2" s="105" customFormat="1">
      <c r="B980" s="107"/>
    </row>
    <row r="981" spans="2:2" s="105" customFormat="1">
      <c r="B981" s="107"/>
    </row>
    <row r="982" spans="2:2" s="105" customFormat="1">
      <c r="B982" s="107"/>
    </row>
    <row r="983" spans="2:2" s="105" customFormat="1">
      <c r="B983" s="107"/>
    </row>
    <row r="984" spans="2:2" s="105" customFormat="1">
      <c r="B984" s="107"/>
    </row>
    <row r="985" spans="2:2" s="105" customFormat="1">
      <c r="B985" s="107"/>
    </row>
    <row r="986" spans="2:2" s="105" customFormat="1">
      <c r="B986" s="107"/>
    </row>
    <row r="987" spans="2:2" s="105" customFormat="1">
      <c r="B987" s="107"/>
    </row>
    <row r="988" spans="2:2" s="105" customFormat="1">
      <c r="B988" s="107"/>
    </row>
    <row r="989" spans="2:2" s="105" customFormat="1">
      <c r="B989" s="107"/>
    </row>
    <row r="990" spans="2:2" s="105" customFormat="1">
      <c r="B990" s="107"/>
    </row>
    <row r="991" spans="2:2" s="105" customFormat="1">
      <c r="B991" s="107"/>
    </row>
    <row r="992" spans="2:2" s="105" customFormat="1">
      <c r="B992" s="107"/>
    </row>
    <row r="993" spans="2:2" s="105" customFormat="1">
      <c r="B993" s="107"/>
    </row>
    <row r="994" spans="2:2" s="105" customFormat="1">
      <c r="B994" s="107"/>
    </row>
    <row r="995" spans="2:2" s="105" customFormat="1">
      <c r="B995" s="107"/>
    </row>
    <row r="996" spans="2:2" s="105" customFormat="1">
      <c r="B996" s="107"/>
    </row>
    <row r="997" spans="2:2" s="105" customFormat="1">
      <c r="B997" s="107"/>
    </row>
    <row r="998" spans="2:2" s="105" customFormat="1">
      <c r="B998" s="107"/>
    </row>
    <row r="999" spans="2:2" s="105" customFormat="1">
      <c r="B999" s="107"/>
    </row>
    <row r="1000" spans="2:2" s="105" customFormat="1">
      <c r="B1000" s="107"/>
    </row>
    <row r="1001" spans="2:2" s="105" customFormat="1">
      <c r="B1001" s="107"/>
    </row>
    <row r="1002" spans="2:2" s="105" customFormat="1">
      <c r="B1002" s="107"/>
    </row>
    <row r="1003" spans="2:2" s="105" customFormat="1">
      <c r="B1003" s="107"/>
    </row>
    <row r="1004" spans="2:2" s="105" customFormat="1">
      <c r="B1004" s="107"/>
    </row>
    <row r="1005" spans="2:2" s="105" customFormat="1">
      <c r="B1005" s="107"/>
    </row>
    <row r="1006" spans="2:2" s="105" customFormat="1">
      <c r="B1006" s="107"/>
    </row>
    <row r="1007" spans="2:2" s="105" customFormat="1">
      <c r="B1007" s="107"/>
    </row>
    <row r="1008" spans="2:2" s="105" customFormat="1">
      <c r="B1008" s="107"/>
    </row>
    <row r="1009" spans="2:2" s="105" customFormat="1">
      <c r="B1009" s="107"/>
    </row>
    <row r="1010" spans="2:2" s="105" customFormat="1">
      <c r="B1010" s="107"/>
    </row>
    <row r="1011" spans="2:2" s="105" customFormat="1">
      <c r="B1011" s="107"/>
    </row>
    <row r="1012" spans="2:2" s="105" customFormat="1">
      <c r="B1012" s="107"/>
    </row>
    <row r="1013" spans="2:2" s="105" customFormat="1">
      <c r="B1013" s="107"/>
    </row>
    <row r="1014" spans="2:2" s="105" customFormat="1">
      <c r="B1014" s="107"/>
    </row>
    <row r="1015" spans="2:2" s="105" customFormat="1">
      <c r="B1015" s="107"/>
    </row>
    <row r="1016" spans="2:2" s="105" customFormat="1">
      <c r="B1016" s="107"/>
    </row>
    <row r="1017" spans="2:2" s="105" customFormat="1">
      <c r="B1017" s="107"/>
    </row>
    <row r="1018" spans="2:2" s="105" customFormat="1">
      <c r="B1018" s="107"/>
    </row>
    <row r="1019" spans="2:2" s="105" customFormat="1">
      <c r="B1019" s="107"/>
    </row>
    <row r="1020" spans="2:2" s="105" customFormat="1">
      <c r="B1020" s="107"/>
    </row>
    <row r="1021" spans="2:2" s="105" customFormat="1">
      <c r="B1021" s="107"/>
    </row>
    <row r="1022" spans="2:2" s="105" customFormat="1">
      <c r="B1022" s="107"/>
    </row>
    <row r="1023" spans="2:2" s="105" customFormat="1">
      <c r="B1023" s="107"/>
    </row>
    <row r="1024" spans="2:2" s="105" customFormat="1">
      <c r="B1024" s="107"/>
    </row>
    <row r="1025" spans="2:2" s="105" customFormat="1">
      <c r="B1025" s="107"/>
    </row>
    <row r="1026" spans="2:2" s="105" customFormat="1">
      <c r="B1026" s="107"/>
    </row>
    <row r="1027" spans="2:2" s="105" customFormat="1">
      <c r="B1027" s="107"/>
    </row>
    <row r="1028" spans="2:2" s="105" customFormat="1">
      <c r="B1028" s="107"/>
    </row>
    <row r="1029" spans="2:2" s="105" customFormat="1">
      <c r="B1029" s="107"/>
    </row>
    <row r="1030" spans="2:2" s="105" customFormat="1">
      <c r="B1030" s="107"/>
    </row>
    <row r="1031" spans="2:2" s="105" customFormat="1">
      <c r="B1031" s="107"/>
    </row>
    <row r="1032" spans="2:2" s="105" customFormat="1">
      <c r="B1032" s="107"/>
    </row>
    <row r="1033" spans="2:2" s="105" customFormat="1">
      <c r="B1033" s="107"/>
    </row>
    <row r="1034" spans="2:2" s="105" customFormat="1">
      <c r="B1034" s="107"/>
    </row>
    <row r="1035" spans="2:2" s="105" customFormat="1">
      <c r="B1035" s="107"/>
    </row>
    <row r="1036" spans="2:2" s="105" customFormat="1">
      <c r="B1036" s="107"/>
    </row>
    <row r="1037" spans="2:2" s="105" customFormat="1">
      <c r="B1037" s="107"/>
    </row>
    <row r="1038" spans="2:2" s="105" customFormat="1">
      <c r="B1038" s="107"/>
    </row>
    <row r="1039" spans="2:2" s="105" customFormat="1">
      <c r="B1039" s="107"/>
    </row>
    <row r="1040" spans="2:2" s="105" customFormat="1">
      <c r="B1040" s="107"/>
    </row>
    <row r="1041" spans="2:2" s="105" customFormat="1">
      <c r="B1041" s="107"/>
    </row>
    <row r="1042" spans="2:2" s="105" customFormat="1">
      <c r="B1042" s="107"/>
    </row>
    <row r="1043" spans="2:2" s="105" customFormat="1">
      <c r="B1043" s="107"/>
    </row>
    <row r="1044" spans="2:2" s="105" customFormat="1">
      <c r="B1044" s="107"/>
    </row>
    <row r="1045" spans="2:2" s="105" customFormat="1">
      <c r="B1045" s="107"/>
    </row>
    <row r="1046" spans="2:2" s="105" customFormat="1">
      <c r="B1046" s="107"/>
    </row>
    <row r="1047" spans="2:2" s="105" customFormat="1">
      <c r="B1047" s="107"/>
    </row>
    <row r="1048" spans="2:2" s="105" customFormat="1">
      <c r="B1048" s="107"/>
    </row>
    <row r="1049" spans="2:2" s="105" customFormat="1">
      <c r="B1049" s="107"/>
    </row>
    <row r="1050" spans="2:2" s="105" customFormat="1">
      <c r="B1050" s="107"/>
    </row>
    <row r="1051" spans="2:2" s="105" customFormat="1">
      <c r="B1051" s="107"/>
    </row>
    <row r="1052" spans="2:2" s="105" customFormat="1">
      <c r="B1052" s="107"/>
    </row>
    <row r="1053" spans="2:2" s="105" customFormat="1">
      <c r="B1053" s="107"/>
    </row>
    <row r="1054" spans="2:2" s="105" customFormat="1">
      <c r="B1054" s="107"/>
    </row>
    <row r="1055" spans="2:2" s="105" customFormat="1">
      <c r="B1055" s="107"/>
    </row>
    <row r="1056" spans="2:2" s="105" customFormat="1">
      <c r="B1056" s="107"/>
    </row>
    <row r="1057" spans="2:2" s="105" customFormat="1">
      <c r="B1057" s="107"/>
    </row>
    <row r="1058" spans="2:2" s="105" customFormat="1">
      <c r="B1058" s="107"/>
    </row>
    <row r="1059" spans="2:2" s="105" customFormat="1">
      <c r="B1059" s="107"/>
    </row>
    <row r="1060" spans="2:2" s="105" customFormat="1">
      <c r="B1060" s="107"/>
    </row>
    <row r="1061" spans="2:2" s="105" customFormat="1">
      <c r="B1061" s="107"/>
    </row>
    <row r="1062" spans="2:2" s="105" customFormat="1">
      <c r="B1062" s="107"/>
    </row>
    <row r="1063" spans="2:2" s="105" customFormat="1">
      <c r="B1063" s="107"/>
    </row>
    <row r="1064" spans="2:2" s="105" customFormat="1">
      <c r="B1064" s="107"/>
    </row>
    <row r="1065" spans="2:2" s="105" customFormat="1">
      <c r="B1065" s="107"/>
    </row>
    <row r="1066" spans="2:2" s="105" customFormat="1">
      <c r="B1066" s="107"/>
    </row>
    <row r="1067" spans="2:2" s="105" customFormat="1">
      <c r="B1067" s="107"/>
    </row>
    <row r="1068" spans="2:2" s="105" customFormat="1">
      <c r="B1068" s="107"/>
    </row>
    <row r="1069" spans="2:2" s="105" customFormat="1">
      <c r="B1069" s="107"/>
    </row>
    <row r="1070" spans="2:2" s="105" customFormat="1">
      <c r="B1070" s="107"/>
    </row>
    <row r="1071" spans="2:2" s="105" customFormat="1">
      <c r="B1071" s="107"/>
    </row>
    <row r="1072" spans="2:2" s="105" customFormat="1">
      <c r="B1072" s="107"/>
    </row>
    <row r="1073" spans="2:2" s="105" customFormat="1">
      <c r="B1073" s="107"/>
    </row>
    <row r="1074" spans="2:2" s="105" customFormat="1">
      <c r="B1074" s="107"/>
    </row>
    <row r="1075" spans="2:2" s="105" customFormat="1">
      <c r="B1075" s="107"/>
    </row>
    <row r="1076" spans="2:2" s="105" customFormat="1">
      <c r="B1076" s="107"/>
    </row>
    <row r="1077" spans="2:2" s="105" customFormat="1">
      <c r="B1077" s="107"/>
    </row>
    <row r="1078" spans="2:2" s="105" customFormat="1">
      <c r="B1078" s="107"/>
    </row>
    <row r="1079" spans="2:2" s="105" customFormat="1">
      <c r="B1079" s="107"/>
    </row>
    <row r="1080" spans="2:2" s="105" customFormat="1">
      <c r="B1080" s="107"/>
    </row>
    <row r="1081" spans="2:2" s="105" customFormat="1">
      <c r="B1081" s="107"/>
    </row>
    <row r="1082" spans="2:2" s="105" customFormat="1">
      <c r="B1082" s="107"/>
    </row>
    <row r="1083" spans="2:2" s="105" customFormat="1">
      <c r="B1083" s="107"/>
    </row>
    <row r="1084" spans="2:2" s="105" customFormat="1">
      <c r="B1084" s="107"/>
    </row>
    <row r="1085" spans="2:2" s="105" customFormat="1">
      <c r="B1085" s="107"/>
    </row>
    <row r="1086" spans="2:2" s="105" customFormat="1">
      <c r="B1086" s="107"/>
    </row>
    <row r="1087" spans="2:2" s="105" customFormat="1">
      <c r="B1087" s="107"/>
    </row>
    <row r="1088" spans="2:2" s="105" customFormat="1">
      <c r="B1088" s="107"/>
    </row>
    <row r="1089" spans="2:2" s="105" customFormat="1">
      <c r="B1089" s="107"/>
    </row>
    <row r="1090" spans="2:2" s="105" customFormat="1">
      <c r="B1090" s="107"/>
    </row>
    <row r="1091" spans="2:2" s="105" customFormat="1">
      <c r="B1091" s="107"/>
    </row>
    <row r="1092" spans="2:2" s="105" customFormat="1">
      <c r="B1092" s="107"/>
    </row>
    <row r="1093" spans="2:2" s="105" customFormat="1">
      <c r="B1093" s="107"/>
    </row>
    <row r="1094" spans="2:2" s="105" customFormat="1">
      <c r="B1094" s="107"/>
    </row>
    <row r="1095" spans="2:2" s="105" customFormat="1">
      <c r="B1095" s="107"/>
    </row>
    <row r="1096" spans="2:2" s="105" customFormat="1">
      <c r="B1096" s="107"/>
    </row>
    <row r="1097" spans="2:2" s="105" customFormat="1">
      <c r="B1097" s="107"/>
    </row>
    <row r="1098" spans="2:2" s="105" customFormat="1">
      <c r="B1098" s="107"/>
    </row>
    <row r="1099" spans="2:2" s="105" customFormat="1">
      <c r="B1099" s="107"/>
    </row>
    <row r="1100" spans="2:2" s="105" customFormat="1">
      <c r="B1100" s="107"/>
    </row>
    <row r="1101" spans="2:2" s="105" customFormat="1">
      <c r="B1101" s="107"/>
    </row>
    <row r="1102" spans="2:2" s="105" customFormat="1">
      <c r="B1102" s="107"/>
    </row>
    <row r="1103" spans="2:2" s="105" customFormat="1">
      <c r="B1103" s="107"/>
    </row>
    <row r="1104" spans="2:2" s="105" customFormat="1">
      <c r="B1104" s="107"/>
    </row>
    <row r="1105" spans="2:2" s="105" customFormat="1">
      <c r="B1105" s="107"/>
    </row>
    <row r="1106" spans="2:2" s="105" customFormat="1">
      <c r="B1106" s="107"/>
    </row>
    <row r="1107" spans="2:2" s="105" customFormat="1">
      <c r="B1107" s="107"/>
    </row>
    <row r="1108" spans="2:2" s="105" customFormat="1">
      <c r="B1108" s="107"/>
    </row>
    <row r="1109" spans="2:2" s="105" customFormat="1">
      <c r="B1109" s="107"/>
    </row>
    <row r="1110" spans="2:2" s="105" customFormat="1">
      <c r="B1110" s="107"/>
    </row>
    <row r="1111" spans="2:2" s="105" customFormat="1">
      <c r="B1111" s="107"/>
    </row>
    <row r="1112" spans="2:2" s="105" customFormat="1">
      <c r="B1112" s="107"/>
    </row>
    <row r="1113" spans="2:2" s="105" customFormat="1">
      <c r="B1113" s="107"/>
    </row>
    <row r="1114" spans="2:2" s="105" customFormat="1">
      <c r="B1114" s="107"/>
    </row>
    <row r="1115" spans="2:2" s="105" customFormat="1">
      <c r="B1115" s="107"/>
    </row>
    <row r="1116" spans="2:2" s="105" customFormat="1">
      <c r="B1116" s="107"/>
    </row>
    <row r="1117" spans="2:2" s="105" customFormat="1">
      <c r="B1117" s="107"/>
    </row>
    <row r="1118" spans="2:2" s="105" customFormat="1">
      <c r="B1118" s="107"/>
    </row>
    <row r="1119" spans="2:2" s="105" customFormat="1">
      <c r="B1119" s="107"/>
    </row>
    <row r="1120" spans="2:2" s="105" customFormat="1">
      <c r="B1120" s="107"/>
    </row>
    <row r="1121" spans="2:2" s="105" customFormat="1">
      <c r="B1121" s="107"/>
    </row>
    <row r="1122" spans="2:2" s="105" customFormat="1">
      <c r="B1122" s="107"/>
    </row>
    <row r="1123" spans="2:2" s="105" customFormat="1">
      <c r="B1123" s="107"/>
    </row>
    <row r="1124" spans="2:2" s="105" customFormat="1">
      <c r="B1124" s="107"/>
    </row>
    <row r="1125" spans="2:2" s="105" customFormat="1">
      <c r="B1125" s="107"/>
    </row>
    <row r="1126" spans="2:2" s="105" customFormat="1">
      <c r="B1126" s="107"/>
    </row>
    <row r="1127" spans="2:2" s="105" customFormat="1">
      <c r="B1127" s="107"/>
    </row>
    <row r="1128" spans="2:2" s="105" customFormat="1">
      <c r="B1128" s="107"/>
    </row>
    <row r="1129" spans="2:2" s="105" customFormat="1">
      <c r="B1129" s="107"/>
    </row>
    <row r="1130" spans="2:2" s="105" customFormat="1">
      <c r="B1130" s="107"/>
    </row>
    <row r="1131" spans="2:2" s="105" customFormat="1">
      <c r="B1131" s="107"/>
    </row>
    <row r="1132" spans="2:2" s="105" customFormat="1">
      <c r="B1132" s="107"/>
    </row>
    <row r="1133" spans="2:2" s="105" customFormat="1">
      <c r="B1133" s="107"/>
    </row>
    <row r="1134" spans="2:2" s="105" customFormat="1">
      <c r="B1134" s="107"/>
    </row>
    <row r="1135" spans="2:2" s="105" customFormat="1">
      <c r="B1135" s="107"/>
    </row>
    <row r="1136" spans="2:2" s="105" customFormat="1">
      <c r="B1136" s="107"/>
    </row>
    <row r="1137" spans="2:2" s="105" customFormat="1">
      <c r="B1137" s="107"/>
    </row>
    <row r="1138" spans="2:2" s="105" customFormat="1">
      <c r="B1138" s="107"/>
    </row>
    <row r="1139" spans="2:2" s="105" customFormat="1">
      <c r="B1139" s="107"/>
    </row>
    <row r="1140" spans="2:2" s="105" customFormat="1">
      <c r="B1140" s="107"/>
    </row>
    <row r="1141" spans="2:2" s="105" customFormat="1">
      <c r="B1141" s="107"/>
    </row>
    <row r="1142" spans="2:2" s="105" customFormat="1">
      <c r="B1142" s="107"/>
    </row>
    <row r="1143" spans="2:2" s="105" customFormat="1">
      <c r="B1143" s="107"/>
    </row>
    <row r="1144" spans="2:2" s="105" customFormat="1">
      <c r="B1144" s="107"/>
    </row>
    <row r="1145" spans="2:2" s="105" customFormat="1">
      <c r="B1145" s="107"/>
    </row>
    <row r="1146" spans="2:2" s="105" customFormat="1">
      <c r="B1146" s="107"/>
    </row>
    <row r="1147" spans="2:2" s="105" customFormat="1">
      <c r="B1147" s="107"/>
    </row>
    <row r="1148" spans="2:2" s="105" customFormat="1">
      <c r="B1148" s="107"/>
    </row>
    <row r="1149" spans="2:2" s="105" customFormat="1">
      <c r="B1149" s="107"/>
    </row>
    <row r="1150" spans="2:2" s="105" customFormat="1">
      <c r="B1150" s="107"/>
    </row>
    <row r="1151" spans="2:2" s="105" customFormat="1">
      <c r="B1151" s="107"/>
    </row>
    <row r="1152" spans="2:2" s="105" customFormat="1">
      <c r="B1152" s="107"/>
    </row>
    <row r="1153" spans="2:2" s="105" customFormat="1">
      <c r="B1153" s="107"/>
    </row>
    <row r="1154" spans="2:2" s="105" customFormat="1">
      <c r="B1154" s="107"/>
    </row>
    <row r="1155" spans="2:2" s="105" customFormat="1">
      <c r="B1155" s="107"/>
    </row>
    <row r="1156" spans="2:2" s="105" customFormat="1">
      <c r="B1156" s="107"/>
    </row>
    <row r="1157" spans="2:2" s="105" customFormat="1">
      <c r="B1157" s="107"/>
    </row>
    <row r="1158" spans="2:2" s="105" customFormat="1">
      <c r="B1158" s="107"/>
    </row>
    <row r="1159" spans="2:2" s="105" customFormat="1">
      <c r="B1159" s="107"/>
    </row>
    <row r="1160" spans="2:2" s="105" customFormat="1">
      <c r="B1160" s="107"/>
    </row>
    <row r="1161" spans="2:2" s="105" customFormat="1">
      <c r="B1161" s="107"/>
    </row>
    <row r="1162" spans="2:2" s="105" customFormat="1">
      <c r="B1162" s="107"/>
    </row>
    <row r="1163" spans="2:2" s="105" customFormat="1">
      <c r="B1163" s="107"/>
    </row>
    <row r="1164" spans="2:2" s="105" customFormat="1">
      <c r="B1164" s="107"/>
    </row>
    <row r="1165" spans="2:2" s="105" customFormat="1">
      <c r="B1165" s="107"/>
    </row>
    <row r="1166" spans="2:2" s="105" customFormat="1">
      <c r="B1166" s="107"/>
    </row>
    <row r="1167" spans="2:2" s="105" customFormat="1">
      <c r="B1167" s="107"/>
    </row>
    <row r="1168" spans="2:2" s="105" customFormat="1">
      <c r="B1168" s="107"/>
    </row>
    <row r="1169" spans="2:2" s="105" customFormat="1">
      <c r="B1169" s="107"/>
    </row>
    <row r="1170" spans="2:2" s="105" customFormat="1">
      <c r="B1170" s="107"/>
    </row>
    <row r="1171" spans="2:2" s="105" customFormat="1">
      <c r="B1171" s="107"/>
    </row>
    <row r="1172" spans="2:2" s="105" customFormat="1">
      <c r="B1172" s="107"/>
    </row>
    <row r="1173" spans="2:2" s="105" customFormat="1">
      <c r="B1173" s="107"/>
    </row>
    <row r="1174" spans="2:2" s="105" customFormat="1">
      <c r="B1174" s="107"/>
    </row>
    <row r="1175" spans="2:2" s="105" customFormat="1">
      <c r="B1175" s="107"/>
    </row>
    <row r="1176" spans="2:2" s="105" customFormat="1">
      <c r="B1176" s="107"/>
    </row>
    <row r="1177" spans="2:2" s="105" customFormat="1">
      <c r="B1177" s="107"/>
    </row>
    <row r="1178" spans="2:2" s="105" customFormat="1">
      <c r="B1178" s="107"/>
    </row>
    <row r="1179" spans="2:2" s="105" customFormat="1">
      <c r="B1179" s="107"/>
    </row>
    <row r="1180" spans="2:2" s="105" customFormat="1">
      <c r="B1180" s="107"/>
    </row>
    <row r="1181" spans="2:2" s="105" customFormat="1">
      <c r="B1181" s="107"/>
    </row>
    <row r="1182" spans="2:2" s="105" customFormat="1">
      <c r="B1182" s="107"/>
    </row>
    <row r="1183" spans="2:2" s="105" customFormat="1">
      <c r="B1183" s="107"/>
    </row>
    <row r="1184" spans="2:2" s="105" customFormat="1">
      <c r="B1184" s="107"/>
    </row>
    <row r="1185" spans="2:2" s="105" customFormat="1">
      <c r="B1185" s="107"/>
    </row>
    <row r="1186" spans="2:2" s="105" customFormat="1">
      <c r="B1186" s="107"/>
    </row>
    <row r="1187" spans="2:2" s="105" customFormat="1">
      <c r="B1187" s="107"/>
    </row>
    <row r="1188" spans="2:2" s="105" customFormat="1">
      <c r="B1188" s="107"/>
    </row>
    <row r="1189" spans="2:2" s="105" customFormat="1">
      <c r="B1189" s="107"/>
    </row>
    <row r="1190" spans="2:2" s="105" customFormat="1">
      <c r="B1190" s="107"/>
    </row>
    <row r="1191" spans="2:2" s="105" customFormat="1">
      <c r="B1191" s="107"/>
    </row>
    <row r="1192" spans="2:2" s="105" customFormat="1">
      <c r="B1192" s="107"/>
    </row>
    <row r="1193" spans="2:2" s="105" customFormat="1">
      <c r="B1193" s="107"/>
    </row>
    <row r="1194" spans="2:2" s="105" customFormat="1">
      <c r="B1194" s="107"/>
    </row>
    <row r="1195" spans="2:2" s="105" customFormat="1">
      <c r="B1195" s="107"/>
    </row>
    <row r="1196" spans="2:2" s="105" customFormat="1">
      <c r="B1196" s="107"/>
    </row>
    <row r="1197" spans="2:2" s="105" customFormat="1">
      <c r="B1197" s="107"/>
    </row>
    <row r="1198" spans="2:2" s="105" customFormat="1">
      <c r="B1198" s="107"/>
    </row>
    <row r="1199" spans="2:2" s="105" customFormat="1">
      <c r="B1199" s="107"/>
    </row>
    <row r="1200" spans="2:2" s="105" customFormat="1">
      <c r="B1200" s="107"/>
    </row>
    <row r="1201" spans="2:2" s="105" customFormat="1">
      <c r="B1201" s="107"/>
    </row>
    <row r="1202" spans="2:2" s="105" customFormat="1">
      <c r="B1202" s="107"/>
    </row>
    <row r="1203" spans="2:2" s="105" customFormat="1">
      <c r="B1203" s="107"/>
    </row>
    <row r="1204" spans="2:2" s="105" customFormat="1">
      <c r="B1204" s="107"/>
    </row>
    <row r="1205" spans="2:2" s="105" customFormat="1">
      <c r="B1205" s="107"/>
    </row>
    <row r="1206" spans="2:2" s="105" customFormat="1">
      <c r="B1206" s="107"/>
    </row>
    <row r="1207" spans="2:2" s="105" customFormat="1">
      <c r="B1207" s="107"/>
    </row>
    <row r="1208" spans="2:2" s="105" customFormat="1">
      <c r="B1208" s="107"/>
    </row>
    <row r="1209" spans="2:2" s="105" customFormat="1">
      <c r="B1209" s="107"/>
    </row>
    <row r="1210" spans="2:2" s="105" customFormat="1">
      <c r="B1210" s="107"/>
    </row>
    <row r="1211" spans="2:2" s="105" customFormat="1">
      <c r="B1211" s="107"/>
    </row>
    <row r="1212" spans="2:2" s="105" customFormat="1">
      <c r="B1212" s="107"/>
    </row>
    <row r="1213" spans="2:2" s="105" customFormat="1">
      <c r="B1213" s="107"/>
    </row>
    <row r="1214" spans="2:2" s="105" customFormat="1">
      <c r="B1214" s="107"/>
    </row>
    <row r="1215" spans="2:2" s="105" customFormat="1">
      <c r="B1215" s="107"/>
    </row>
    <row r="1216" spans="2:2" s="105" customFormat="1">
      <c r="B1216" s="107"/>
    </row>
    <row r="1217" spans="2:12" s="105" customFormat="1">
      <c r="B1217" s="107"/>
    </row>
    <row r="1218" spans="2:12" s="105" customFormat="1">
      <c r="B1218" s="106"/>
      <c r="C1218" s="104"/>
      <c r="D1218" s="104"/>
      <c r="E1218" s="104"/>
      <c r="F1218" s="104"/>
      <c r="G1218" s="104"/>
      <c r="H1218" s="104"/>
      <c r="K1218" s="104"/>
      <c r="L1218" s="104"/>
    </row>
  </sheetData>
  <mergeCells count="13">
    <mergeCell ref="B20:I21"/>
    <mergeCell ref="D23:E24"/>
    <mergeCell ref="I48:J48"/>
    <mergeCell ref="I51:J51"/>
    <mergeCell ref="I120:J120"/>
    <mergeCell ref="I123:J123"/>
    <mergeCell ref="D331:L332"/>
    <mergeCell ref="G223:H223"/>
    <mergeCell ref="G242:H242"/>
    <mergeCell ref="D275:J276"/>
    <mergeCell ref="D302:J302"/>
    <mergeCell ref="D304:J305"/>
    <mergeCell ref="D326:L327"/>
  </mergeCells>
  <printOptions horizontalCentered="1"/>
  <pageMargins left="0.25" right="0.25" top="1" bottom="1" header="0.65" footer="0.25"/>
  <pageSetup fitToHeight="0" orientation="portrait" horizontalDpi="1200" verticalDpi="1200" r:id="rId1"/>
  <headerFooter alignWithMargins="0">
    <oddHeader xml:space="preserve">&amp;R&amp;16AEPTCo - SPP Formula Rate
&amp;A - True-Up
Page: &amp;P of &amp;N
</oddHeader>
    <oddFooter>&amp;R &amp;C&amp;"Calibri,Regular"&amp;11&amp;B&amp;K000000AEP CONFIDENTIAL</oddFooter>
    <evenFooter>&amp;C&amp;"Calibri,Regular"&amp;11&amp;B&amp;K000000AEP CONFIDENTIAL</evenFooter>
    <firstFooter>&amp;C&amp;"Calibri,Regular"&amp;11&amp;B&amp;K000000AEP CONFIDENTIAL</firstFooter>
  </headerFooter>
  <rowBreaks count="4" manualBreakCount="4">
    <brk id="39" max="11" man="1"/>
    <brk id="112" max="11" man="1"/>
    <brk id="184" max="11" man="1"/>
    <brk id="249"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1218"/>
  <sheetViews>
    <sheetView zoomScale="70" zoomScaleNormal="70" zoomScaleSheetLayoutView="75" workbookViewId="0">
      <selection activeCell="G39" sqref="G39"/>
    </sheetView>
  </sheetViews>
  <sheetFormatPr defaultColWidth="11.42578125" defaultRowHeight="15"/>
  <cols>
    <col min="1" max="1" width="4.7109375" style="104" customWidth="1"/>
    <col min="2" max="2" width="7.85546875" style="106" customWidth="1"/>
    <col min="3" max="3" width="1.85546875" style="104" customWidth="1"/>
    <col min="4" max="4" width="56" style="104" customWidth="1"/>
    <col min="5" max="5" width="37.28515625" style="104" customWidth="1"/>
    <col min="6" max="6" width="26.140625" style="104" customWidth="1"/>
    <col min="7" max="7" width="20.7109375" style="104" customWidth="1"/>
    <col min="8" max="8" width="18.85546875" style="104" customWidth="1"/>
    <col min="9" max="9" width="9.85546875" style="104" customWidth="1"/>
    <col min="10" max="10" width="21.85546875" style="104" bestFit="1" customWidth="1"/>
    <col min="11" max="11" width="4.7109375" style="104" customWidth="1"/>
    <col min="12" max="12" width="21.140625" style="104" customWidth="1"/>
    <col min="13" max="13" width="19.42578125" style="105" customWidth="1"/>
    <col min="14" max="14" width="28.85546875" style="104" bestFit="1" customWidth="1"/>
    <col min="15" max="15" width="3.140625" style="104" customWidth="1"/>
    <col min="16" max="16" width="21.85546875" style="104" customWidth="1"/>
    <col min="17" max="17" width="11.42578125" style="104" customWidth="1"/>
    <col min="18" max="18" width="20.5703125" style="104" bestFit="1" customWidth="1"/>
    <col min="19" max="256" width="11.42578125" style="104"/>
    <col min="257" max="257" width="4.7109375" style="104" customWidth="1"/>
    <col min="258" max="258" width="7.85546875" style="104" customWidth="1"/>
    <col min="259" max="259" width="1.85546875" style="104" customWidth="1"/>
    <col min="260" max="260" width="56" style="104" customWidth="1"/>
    <col min="261" max="261" width="37.28515625" style="104" customWidth="1"/>
    <col min="262" max="262" width="26.140625" style="104" customWidth="1"/>
    <col min="263" max="263" width="20.7109375" style="104" customWidth="1"/>
    <col min="264" max="264" width="18.85546875" style="104" customWidth="1"/>
    <col min="265" max="265" width="9.85546875" style="104" customWidth="1"/>
    <col min="266" max="266" width="21.85546875" style="104" bestFit="1" customWidth="1"/>
    <col min="267" max="267" width="4.7109375" style="104" customWidth="1"/>
    <col min="268" max="268" width="21.140625" style="104" customWidth="1"/>
    <col min="269" max="269" width="19.42578125" style="104" customWidth="1"/>
    <col min="270" max="270" width="28.85546875" style="104" bestFit="1" customWidth="1"/>
    <col min="271" max="271" width="3.140625" style="104" customWidth="1"/>
    <col min="272" max="272" width="21.85546875" style="104" customWidth="1"/>
    <col min="273" max="273" width="11.42578125" style="104" customWidth="1"/>
    <col min="274" max="274" width="20.5703125" style="104" bestFit="1" customWidth="1"/>
    <col min="275" max="512" width="11.42578125" style="104"/>
    <col min="513" max="513" width="4.7109375" style="104" customWidth="1"/>
    <col min="514" max="514" width="7.85546875" style="104" customWidth="1"/>
    <col min="515" max="515" width="1.85546875" style="104" customWidth="1"/>
    <col min="516" max="516" width="56" style="104" customWidth="1"/>
    <col min="517" max="517" width="37.28515625" style="104" customWidth="1"/>
    <col min="518" max="518" width="26.140625" style="104" customWidth="1"/>
    <col min="519" max="519" width="20.7109375" style="104" customWidth="1"/>
    <col min="520" max="520" width="18.85546875" style="104" customWidth="1"/>
    <col min="521" max="521" width="9.85546875" style="104" customWidth="1"/>
    <col min="522" max="522" width="21.85546875" style="104" bestFit="1" customWidth="1"/>
    <col min="523" max="523" width="4.7109375" style="104" customWidth="1"/>
    <col min="524" max="524" width="21.140625" style="104" customWidth="1"/>
    <col min="525" max="525" width="19.42578125" style="104" customWidth="1"/>
    <col min="526" max="526" width="28.85546875" style="104" bestFit="1" customWidth="1"/>
    <col min="527" max="527" width="3.140625" style="104" customWidth="1"/>
    <col min="528" max="528" width="21.85546875" style="104" customWidth="1"/>
    <col min="529" max="529" width="11.42578125" style="104" customWidth="1"/>
    <col min="530" max="530" width="20.5703125" style="104" bestFit="1" customWidth="1"/>
    <col min="531" max="768" width="11.42578125" style="104"/>
    <col min="769" max="769" width="4.7109375" style="104" customWidth="1"/>
    <col min="770" max="770" width="7.85546875" style="104" customWidth="1"/>
    <col min="771" max="771" width="1.85546875" style="104" customWidth="1"/>
    <col min="772" max="772" width="56" style="104" customWidth="1"/>
    <col min="773" max="773" width="37.28515625" style="104" customWidth="1"/>
    <col min="774" max="774" width="26.140625" style="104" customWidth="1"/>
    <col min="775" max="775" width="20.7109375" style="104" customWidth="1"/>
    <col min="776" max="776" width="18.85546875" style="104" customWidth="1"/>
    <col min="777" max="777" width="9.85546875" style="104" customWidth="1"/>
    <col min="778" max="778" width="21.85546875" style="104" bestFit="1" customWidth="1"/>
    <col min="779" max="779" width="4.7109375" style="104" customWidth="1"/>
    <col min="780" max="780" width="21.140625" style="104" customWidth="1"/>
    <col min="781" max="781" width="19.42578125" style="104" customWidth="1"/>
    <col min="782" max="782" width="28.85546875" style="104" bestFit="1" customWidth="1"/>
    <col min="783" max="783" width="3.140625" style="104" customWidth="1"/>
    <col min="784" max="784" width="21.85546875" style="104" customWidth="1"/>
    <col min="785" max="785" width="11.42578125" style="104" customWidth="1"/>
    <col min="786" max="786" width="20.5703125" style="104" bestFit="1" customWidth="1"/>
    <col min="787" max="1024" width="11.42578125" style="104"/>
    <col min="1025" max="1025" width="4.7109375" style="104" customWidth="1"/>
    <col min="1026" max="1026" width="7.85546875" style="104" customWidth="1"/>
    <col min="1027" max="1027" width="1.85546875" style="104" customWidth="1"/>
    <col min="1028" max="1028" width="56" style="104" customWidth="1"/>
    <col min="1029" max="1029" width="37.28515625" style="104" customWidth="1"/>
    <col min="1030" max="1030" width="26.140625" style="104" customWidth="1"/>
    <col min="1031" max="1031" width="20.7109375" style="104" customWidth="1"/>
    <col min="1032" max="1032" width="18.85546875" style="104" customWidth="1"/>
    <col min="1033" max="1033" width="9.85546875" style="104" customWidth="1"/>
    <col min="1034" max="1034" width="21.85546875" style="104" bestFit="1" customWidth="1"/>
    <col min="1035" max="1035" width="4.7109375" style="104" customWidth="1"/>
    <col min="1036" max="1036" width="21.140625" style="104" customWidth="1"/>
    <col min="1037" max="1037" width="19.42578125" style="104" customWidth="1"/>
    <col min="1038" max="1038" width="28.85546875" style="104" bestFit="1" customWidth="1"/>
    <col min="1039" max="1039" width="3.140625" style="104" customWidth="1"/>
    <col min="1040" max="1040" width="21.85546875" style="104" customWidth="1"/>
    <col min="1041" max="1041" width="11.42578125" style="104" customWidth="1"/>
    <col min="1042" max="1042" width="20.5703125" style="104" bestFit="1" customWidth="1"/>
    <col min="1043" max="1280" width="11.42578125" style="104"/>
    <col min="1281" max="1281" width="4.7109375" style="104" customWidth="1"/>
    <col min="1282" max="1282" width="7.85546875" style="104" customWidth="1"/>
    <col min="1283" max="1283" width="1.85546875" style="104" customWidth="1"/>
    <col min="1284" max="1284" width="56" style="104" customWidth="1"/>
    <col min="1285" max="1285" width="37.28515625" style="104" customWidth="1"/>
    <col min="1286" max="1286" width="26.140625" style="104" customWidth="1"/>
    <col min="1287" max="1287" width="20.7109375" style="104" customWidth="1"/>
    <col min="1288" max="1288" width="18.85546875" style="104" customWidth="1"/>
    <col min="1289" max="1289" width="9.85546875" style="104" customWidth="1"/>
    <col min="1290" max="1290" width="21.85546875" style="104" bestFit="1" customWidth="1"/>
    <col min="1291" max="1291" width="4.7109375" style="104" customWidth="1"/>
    <col min="1292" max="1292" width="21.140625" style="104" customWidth="1"/>
    <col min="1293" max="1293" width="19.42578125" style="104" customWidth="1"/>
    <col min="1294" max="1294" width="28.85546875" style="104" bestFit="1" customWidth="1"/>
    <col min="1295" max="1295" width="3.140625" style="104" customWidth="1"/>
    <col min="1296" max="1296" width="21.85546875" style="104" customWidth="1"/>
    <col min="1297" max="1297" width="11.42578125" style="104" customWidth="1"/>
    <col min="1298" max="1298" width="20.5703125" style="104" bestFit="1" customWidth="1"/>
    <col min="1299" max="1536" width="11.42578125" style="104"/>
    <col min="1537" max="1537" width="4.7109375" style="104" customWidth="1"/>
    <col min="1538" max="1538" width="7.85546875" style="104" customWidth="1"/>
    <col min="1539" max="1539" width="1.85546875" style="104" customWidth="1"/>
    <col min="1540" max="1540" width="56" style="104" customWidth="1"/>
    <col min="1541" max="1541" width="37.28515625" style="104" customWidth="1"/>
    <col min="1542" max="1542" width="26.140625" style="104" customWidth="1"/>
    <col min="1543" max="1543" width="20.7109375" style="104" customWidth="1"/>
    <col min="1544" max="1544" width="18.85546875" style="104" customWidth="1"/>
    <col min="1545" max="1545" width="9.85546875" style="104" customWidth="1"/>
    <col min="1546" max="1546" width="21.85546875" style="104" bestFit="1" customWidth="1"/>
    <col min="1547" max="1547" width="4.7109375" style="104" customWidth="1"/>
    <col min="1548" max="1548" width="21.140625" style="104" customWidth="1"/>
    <col min="1549" max="1549" width="19.42578125" style="104" customWidth="1"/>
    <col min="1550" max="1550" width="28.85546875" style="104" bestFit="1" customWidth="1"/>
    <col min="1551" max="1551" width="3.140625" style="104" customWidth="1"/>
    <col min="1552" max="1552" width="21.85546875" style="104" customWidth="1"/>
    <col min="1553" max="1553" width="11.42578125" style="104" customWidth="1"/>
    <col min="1554" max="1554" width="20.5703125" style="104" bestFit="1" customWidth="1"/>
    <col min="1555" max="1792" width="11.42578125" style="104"/>
    <col min="1793" max="1793" width="4.7109375" style="104" customWidth="1"/>
    <col min="1794" max="1794" width="7.85546875" style="104" customWidth="1"/>
    <col min="1795" max="1795" width="1.85546875" style="104" customWidth="1"/>
    <col min="1796" max="1796" width="56" style="104" customWidth="1"/>
    <col min="1797" max="1797" width="37.28515625" style="104" customWidth="1"/>
    <col min="1798" max="1798" width="26.140625" style="104" customWidth="1"/>
    <col min="1799" max="1799" width="20.7109375" style="104" customWidth="1"/>
    <col min="1800" max="1800" width="18.85546875" style="104" customWidth="1"/>
    <col min="1801" max="1801" width="9.85546875" style="104" customWidth="1"/>
    <col min="1802" max="1802" width="21.85546875" style="104" bestFit="1" customWidth="1"/>
    <col min="1803" max="1803" width="4.7109375" style="104" customWidth="1"/>
    <col min="1804" max="1804" width="21.140625" style="104" customWidth="1"/>
    <col min="1805" max="1805" width="19.42578125" style="104" customWidth="1"/>
    <col min="1806" max="1806" width="28.85546875" style="104" bestFit="1" customWidth="1"/>
    <col min="1807" max="1807" width="3.140625" style="104" customWidth="1"/>
    <col min="1808" max="1808" width="21.85546875" style="104" customWidth="1"/>
    <col min="1809" max="1809" width="11.42578125" style="104" customWidth="1"/>
    <col min="1810" max="1810" width="20.5703125" style="104" bestFit="1" customWidth="1"/>
    <col min="1811" max="2048" width="11.42578125" style="104"/>
    <col min="2049" max="2049" width="4.7109375" style="104" customWidth="1"/>
    <col min="2050" max="2050" width="7.85546875" style="104" customWidth="1"/>
    <col min="2051" max="2051" width="1.85546875" style="104" customWidth="1"/>
    <col min="2052" max="2052" width="56" style="104" customWidth="1"/>
    <col min="2053" max="2053" width="37.28515625" style="104" customWidth="1"/>
    <col min="2054" max="2054" width="26.140625" style="104" customWidth="1"/>
    <col min="2055" max="2055" width="20.7109375" style="104" customWidth="1"/>
    <col min="2056" max="2056" width="18.85546875" style="104" customWidth="1"/>
    <col min="2057" max="2057" width="9.85546875" style="104" customWidth="1"/>
    <col min="2058" max="2058" width="21.85546875" style="104" bestFit="1" customWidth="1"/>
    <col min="2059" max="2059" width="4.7109375" style="104" customWidth="1"/>
    <col min="2060" max="2060" width="21.140625" style="104" customWidth="1"/>
    <col min="2061" max="2061" width="19.42578125" style="104" customWidth="1"/>
    <col min="2062" max="2062" width="28.85546875" style="104" bestFit="1" customWidth="1"/>
    <col min="2063" max="2063" width="3.140625" style="104" customWidth="1"/>
    <col min="2064" max="2064" width="21.85546875" style="104" customWidth="1"/>
    <col min="2065" max="2065" width="11.42578125" style="104" customWidth="1"/>
    <col min="2066" max="2066" width="20.5703125" style="104" bestFit="1" customWidth="1"/>
    <col min="2067" max="2304" width="11.42578125" style="104"/>
    <col min="2305" max="2305" width="4.7109375" style="104" customWidth="1"/>
    <col min="2306" max="2306" width="7.85546875" style="104" customWidth="1"/>
    <col min="2307" max="2307" width="1.85546875" style="104" customWidth="1"/>
    <col min="2308" max="2308" width="56" style="104" customWidth="1"/>
    <col min="2309" max="2309" width="37.28515625" style="104" customWidth="1"/>
    <col min="2310" max="2310" width="26.140625" style="104" customWidth="1"/>
    <col min="2311" max="2311" width="20.7109375" style="104" customWidth="1"/>
    <col min="2312" max="2312" width="18.85546875" style="104" customWidth="1"/>
    <col min="2313" max="2313" width="9.85546875" style="104" customWidth="1"/>
    <col min="2314" max="2314" width="21.85546875" style="104" bestFit="1" customWidth="1"/>
    <col min="2315" max="2315" width="4.7109375" style="104" customWidth="1"/>
    <col min="2316" max="2316" width="21.140625" style="104" customWidth="1"/>
    <col min="2317" max="2317" width="19.42578125" style="104" customWidth="1"/>
    <col min="2318" max="2318" width="28.85546875" style="104" bestFit="1" customWidth="1"/>
    <col min="2319" max="2319" width="3.140625" style="104" customWidth="1"/>
    <col min="2320" max="2320" width="21.85546875" style="104" customWidth="1"/>
    <col min="2321" max="2321" width="11.42578125" style="104" customWidth="1"/>
    <col min="2322" max="2322" width="20.5703125" style="104" bestFit="1" customWidth="1"/>
    <col min="2323" max="2560" width="11.42578125" style="104"/>
    <col min="2561" max="2561" width="4.7109375" style="104" customWidth="1"/>
    <col min="2562" max="2562" width="7.85546875" style="104" customWidth="1"/>
    <col min="2563" max="2563" width="1.85546875" style="104" customWidth="1"/>
    <col min="2564" max="2564" width="56" style="104" customWidth="1"/>
    <col min="2565" max="2565" width="37.28515625" style="104" customWidth="1"/>
    <col min="2566" max="2566" width="26.140625" style="104" customWidth="1"/>
    <col min="2567" max="2567" width="20.7109375" style="104" customWidth="1"/>
    <col min="2568" max="2568" width="18.85546875" style="104" customWidth="1"/>
    <col min="2569" max="2569" width="9.85546875" style="104" customWidth="1"/>
    <col min="2570" max="2570" width="21.85546875" style="104" bestFit="1" customWidth="1"/>
    <col min="2571" max="2571" width="4.7109375" style="104" customWidth="1"/>
    <col min="2572" max="2572" width="21.140625" style="104" customWidth="1"/>
    <col min="2573" max="2573" width="19.42578125" style="104" customWidth="1"/>
    <col min="2574" max="2574" width="28.85546875" style="104" bestFit="1" customWidth="1"/>
    <col min="2575" max="2575" width="3.140625" style="104" customWidth="1"/>
    <col min="2576" max="2576" width="21.85546875" style="104" customWidth="1"/>
    <col min="2577" max="2577" width="11.42578125" style="104" customWidth="1"/>
    <col min="2578" max="2578" width="20.5703125" style="104" bestFit="1" customWidth="1"/>
    <col min="2579" max="2816" width="11.42578125" style="104"/>
    <col min="2817" max="2817" width="4.7109375" style="104" customWidth="1"/>
    <col min="2818" max="2818" width="7.85546875" style="104" customWidth="1"/>
    <col min="2819" max="2819" width="1.85546875" style="104" customWidth="1"/>
    <col min="2820" max="2820" width="56" style="104" customWidth="1"/>
    <col min="2821" max="2821" width="37.28515625" style="104" customWidth="1"/>
    <col min="2822" max="2822" width="26.140625" style="104" customWidth="1"/>
    <col min="2823" max="2823" width="20.7109375" style="104" customWidth="1"/>
    <col min="2824" max="2824" width="18.85546875" style="104" customWidth="1"/>
    <col min="2825" max="2825" width="9.85546875" style="104" customWidth="1"/>
    <col min="2826" max="2826" width="21.85546875" style="104" bestFit="1" customWidth="1"/>
    <col min="2827" max="2827" width="4.7109375" style="104" customWidth="1"/>
    <col min="2828" max="2828" width="21.140625" style="104" customWidth="1"/>
    <col min="2829" max="2829" width="19.42578125" style="104" customWidth="1"/>
    <col min="2830" max="2830" width="28.85546875" style="104" bestFit="1" customWidth="1"/>
    <col min="2831" max="2831" width="3.140625" style="104" customWidth="1"/>
    <col min="2832" max="2832" width="21.85546875" style="104" customWidth="1"/>
    <col min="2833" max="2833" width="11.42578125" style="104" customWidth="1"/>
    <col min="2834" max="2834" width="20.5703125" style="104" bestFit="1" customWidth="1"/>
    <col min="2835" max="3072" width="11.42578125" style="104"/>
    <col min="3073" max="3073" width="4.7109375" style="104" customWidth="1"/>
    <col min="3074" max="3074" width="7.85546875" style="104" customWidth="1"/>
    <col min="3075" max="3075" width="1.85546875" style="104" customWidth="1"/>
    <col min="3076" max="3076" width="56" style="104" customWidth="1"/>
    <col min="3077" max="3077" width="37.28515625" style="104" customWidth="1"/>
    <col min="3078" max="3078" width="26.140625" style="104" customWidth="1"/>
    <col min="3079" max="3079" width="20.7109375" style="104" customWidth="1"/>
    <col min="3080" max="3080" width="18.85546875" style="104" customWidth="1"/>
    <col min="3081" max="3081" width="9.85546875" style="104" customWidth="1"/>
    <col min="3082" max="3082" width="21.85546875" style="104" bestFit="1" customWidth="1"/>
    <col min="3083" max="3083" width="4.7109375" style="104" customWidth="1"/>
    <col min="3084" max="3084" width="21.140625" style="104" customWidth="1"/>
    <col min="3085" max="3085" width="19.42578125" style="104" customWidth="1"/>
    <col min="3086" max="3086" width="28.85546875" style="104" bestFit="1" customWidth="1"/>
    <col min="3087" max="3087" width="3.140625" style="104" customWidth="1"/>
    <col min="3088" max="3088" width="21.85546875" style="104" customWidth="1"/>
    <col min="3089" max="3089" width="11.42578125" style="104" customWidth="1"/>
    <col min="3090" max="3090" width="20.5703125" style="104" bestFit="1" customWidth="1"/>
    <col min="3091" max="3328" width="11.42578125" style="104"/>
    <col min="3329" max="3329" width="4.7109375" style="104" customWidth="1"/>
    <col min="3330" max="3330" width="7.85546875" style="104" customWidth="1"/>
    <col min="3331" max="3331" width="1.85546875" style="104" customWidth="1"/>
    <col min="3332" max="3332" width="56" style="104" customWidth="1"/>
    <col min="3333" max="3333" width="37.28515625" style="104" customWidth="1"/>
    <col min="3334" max="3334" width="26.140625" style="104" customWidth="1"/>
    <col min="3335" max="3335" width="20.7109375" style="104" customWidth="1"/>
    <col min="3336" max="3336" width="18.85546875" style="104" customWidth="1"/>
    <col min="3337" max="3337" width="9.85546875" style="104" customWidth="1"/>
    <col min="3338" max="3338" width="21.85546875" style="104" bestFit="1" customWidth="1"/>
    <col min="3339" max="3339" width="4.7109375" style="104" customWidth="1"/>
    <col min="3340" max="3340" width="21.140625" style="104" customWidth="1"/>
    <col min="3341" max="3341" width="19.42578125" style="104" customWidth="1"/>
    <col min="3342" max="3342" width="28.85546875" style="104" bestFit="1" customWidth="1"/>
    <col min="3343" max="3343" width="3.140625" style="104" customWidth="1"/>
    <col min="3344" max="3344" width="21.85546875" style="104" customWidth="1"/>
    <col min="3345" max="3345" width="11.42578125" style="104" customWidth="1"/>
    <col min="3346" max="3346" width="20.5703125" style="104" bestFit="1" customWidth="1"/>
    <col min="3347" max="3584" width="11.42578125" style="104"/>
    <col min="3585" max="3585" width="4.7109375" style="104" customWidth="1"/>
    <col min="3586" max="3586" width="7.85546875" style="104" customWidth="1"/>
    <col min="3587" max="3587" width="1.85546875" style="104" customWidth="1"/>
    <col min="3588" max="3588" width="56" style="104" customWidth="1"/>
    <col min="3589" max="3589" width="37.28515625" style="104" customWidth="1"/>
    <col min="3590" max="3590" width="26.140625" style="104" customWidth="1"/>
    <col min="3591" max="3591" width="20.7109375" style="104" customWidth="1"/>
    <col min="3592" max="3592" width="18.85546875" style="104" customWidth="1"/>
    <col min="3593" max="3593" width="9.85546875" style="104" customWidth="1"/>
    <col min="3594" max="3594" width="21.85546875" style="104" bestFit="1" customWidth="1"/>
    <col min="3595" max="3595" width="4.7109375" style="104" customWidth="1"/>
    <col min="3596" max="3596" width="21.140625" style="104" customWidth="1"/>
    <col min="3597" max="3597" width="19.42578125" style="104" customWidth="1"/>
    <col min="3598" max="3598" width="28.85546875" style="104" bestFit="1" customWidth="1"/>
    <col min="3599" max="3599" width="3.140625" style="104" customWidth="1"/>
    <col min="3600" max="3600" width="21.85546875" style="104" customWidth="1"/>
    <col min="3601" max="3601" width="11.42578125" style="104" customWidth="1"/>
    <col min="3602" max="3602" width="20.5703125" style="104" bestFit="1" customWidth="1"/>
    <col min="3603" max="3840" width="11.42578125" style="104"/>
    <col min="3841" max="3841" width="4.7109375" style="104" customWidth="1"/>
    <col min="3842" max="3842" width="7.85546875" style="104" customWidth="1"/>
    <col min="3843" max="3843" width="1.85546875" style="104" customWidth="1"/>
    <col min="3844" max="3844" width="56" style="104" customWidth="1"/>
    <col min="3845" max="3845" width="37.28515625" style="104" customWidth="1"/>
    <col min="3846" max="3846" width="26.140625" style="104" customWidth="1"/>
    <col min="3847" max="3847" width="20.7109375" style="104" customWidth="1"/>
    <col min="3848" max="3848" width="18.85546875" style="104" customWidth="1"/>
    <col min="3849" max="3849" width="9.85546875" style="104" customWidth="1"/>
    <col min="3850" max="3850" width="21.85546875" style="104" bestFit="1" customWidth="1"/>
    <col min="3851" max="3851" width="4.7109375" style="104" customWidth="1"/>
    <col min="3852" max="3852" width="21.140625" style="104" customWidth="1"/>
    <col min="3853" max="3853" width="19.42578125" style="104" customWidth="1"/>
    <col min="3854" max="3854" width="28.85546875" style="104" bestFit="1" customWidth="1"/>
    <col min="3855" max="3855" width="3.140625" style="104" customWidth="1"/>
    <col min="3856" max="3856" width="21.85546875" style="104" customWidth="1"/>
    <col min="3857" max="3857" width="11.42578125" style="104" customWidth="1"/>
    <col min="3858" max="3858" width="20.5703125" style="104" bestFit="1" customWidth="1"/>
    <col min="3859" max="4096" width="11.42578125" style="104"/>
    <col min="4097" max="4097" width="4.7109375" style="104" customWidth="1"/>
    <col min="4098" max="4098" width="7.85546875" style="104" customWidth="1"/>
    <col min="4099" max="4099" width="1.85546875" style="104" customWidth="1"/>
    <col min="4100" max="4100" width="56" style="104" customWidth="1"/>
    <col min="4101" max="4101" width="37.28515625" style="104" customWidth="1"/>
    <col min="4102" max="4102" width="26.140625" style="104" customWidth="1"/>
    <col min="4103" max="4103" width="20.7109375" style="104" customWidth="1"/>
    <col min="4104" max="4104" width="18.85546875" style="104" customWidth="1"/>
    <col min="4105" max="4105" width="9.85546875" style="104" customWidth="1"/>
    <col min="4106" max="4106" width="21.85546875" style="104" bestFit="1" customWidth="1"/>
    <col min="4107" max="4107" width="4.7109375" style="104" customWidth="1"/>
    <col min="4108" max="4108" width="21.140625" style="104" customWidth="1"/>
    <col min="4109" max="4109" width="19.42578125" style="104" customWidth="1"/>
    <col min="4110" max="4110" width="28.85546875" style="104" bestFit="1" customWidth="1"/>
    <col min="4111" max="4111" width="3.140625" style="104" customWidth="1"/>
    <col min="4112" max="4112" width="21.85546875" style="104" customWidth="1"/>
    <col min="4113" max="4113" width="11.42578125" style="104" customWidth="1"/>
    <col min="4114" max="4114" width="20.5703125" style="104" bestFit="1" customWidth="1"/>
    <col min="4115" max="4352" width="11.42578125" style="104"/>
    <col min="4353" max="4353" width="4.7109375" style="104" customWidth="1"/>
    <col min="4354" max="4354" width="7.85546875" style="104" customWidth="1"/>
    <col min="4355" max="4355" width="1.85546875" style="104" customWidth="1"/>
    <col min="4356" max="4356" width="56" style="104" customWidth="1"/>
    <col min="4357" max="4357" width="37.28515625" style="104" customWidth="1"/>
    <col min="4358" max="4358" width="26.140625" style="104" customWidth="1"/>
    <col min="4359" max="4359" width="20.7109375" style="104" customWidth="1"/>
    <col min="4360" max="4360" width="18.85546875" style="104" customWidth="1"/>
    <col min="4361" max="4361" width="9.85546875" style="104" customWidth="1"/>
    <col min="4362" max="4362" width="21.85546875" style="104" bestFit="1" customWidth="1"/>
    <col min="4363" max="4363" width="4.7109375" style="104" customWidth="1"/>
    <col min="4364" max="4364" width="21.140625" style="104" customWidth="1"/>
    <col min="4365" max="4365" width="19.42578125" style="104" customWidth="1"/>
    <col min="4366" max="4366" width="28.85546875" style="104" bestFit="1" customWidth="1"/>
    <col min="4367" max="4367" width="3.140625" style="104" customWidth="1"/>
    <col min="4368" max="4368" width="21.85546875" style="104" customWidth="1"/>
    <col min="4369" max="4369" width="11.42578125" style="104" customWidth="1"/>
    <col min="4370" max="4370" width="20.5703125" style="104" bestFit="1" customWidth="1"/>
    <col min="4371" max="4608" width="11.42578125" style="104"/>
    <col min="4609" max="4609" width="4.7109375" style="104" customWidth="1"/>
    <col min="4610" max="4610" width="7.85546875" style="104" customWidth="1"/>
    <col min="4611" max="4611" width="1.85546875" style="104" customWidth="1"/>
    <col min="4612" max="4612" width="56" style="104" customWidth="1"/>
    <col min="4613" max="4613" width="37.28515625" style="104" customWidth="1"/>
    <col min="4614" max="4614" width="26.140625" style="104" customWidth="1"/>
    <col min="4615" max="4615" width="20.7109375" style="104" customWidth="1"/>
    <col min="4616" max="4616" width="18.85546875" style="104" customWidth="1"/>
    <col min="4617" max="4617" width="9.85546875" style="104" customWidth="1"/>
    <col min="4618" max="4618" width="21.85546875" style="104" bestFit="1" customWidth="1"/>
    <col min="4619" max="4619" width="4.7109375" style="104" customWidth="1"/>
    <col min="4620" max="4620" width="21.140625" style="104" customWidth="1"/>
    <col min="4621" max="4621" width="19.42578125" style="104" customWidth="1"/>
    <col min="4622" max="4622" width="28.85546875" style="104" bestFit="1" customWidth="1"/>
    <col min="4623" max="4623" width="3.140625" style="104" customWidth="1"/>
    <col min="4624" max="4624" width="21.85546875" style="104" customWidth="1"/>
    <col min="4625" max="4625" width="11.42578125" style="104" customWidth="1"/>
    <col min="4626" max="4626" width="20.5703125" style="104" bestFit="1" customWidth="1"/>
    <col min="4627" max="4864" width="11.42578125" style="104"/>
    <col min="4865" max="4865" width="4.7109375" style="104" customWidth="1"/>
    <col min="4866" max="4866" width="7.85546875" style="104" customWidth="1"/>
    <col min="4867" max="4867" width="1.85546875" style="104" customWidth="1"/>
    <col min="4868" max="4868" width="56" style="104" customWidth="1"/>
    <col min="4869" max="4869" width="37.28515625" style="104" customWidth="1"/>
    <col min="4870" max="4870" width="26.140625" style="104" customWidth="1"/>
    <col min="4871" max="4871" width="20.7109375" style="104" customWidth="1"/>
    <col min="4872" max="4872" width="18.85546875" style="104" customWidth="1"/>
    <col min="4873" max="4873" width="9.85546875" style="104" customWidth="1"/>
    <col min="4874" max="4874" width="21.85546875" style="104" bestFit="1" customWidth="1"/>
    <col min="4875" max="4875" width="4.7109375" style="104" customWidth="1"/>
    <col min="4876" max="4876" width="21.140625" style="104" customWidth="1"/>
    <col min="4877" max="4877" width="19.42578125" style="104" customWidth="1"/>
    <col min="4878" max="4878" width="28.85546875" style="104" bestFit="1" customWidth="1"/>
    <col min="4879" max="4879" width="3.140625" style="104" customWidth="1"/>
    <col min="4880" max="4880" width="21.85546875" style="104" customWidth="1"/>
    <col min="4881" max="4881" width="11.42578125" style="104" customWidth="1"/>
    <col min="4882" max="4882" width="20.5703125" style="104" bestFit="1" customWidth="1"/>
    <col min="4883" max="5120" width="11.42578125" style="104"/>
    <col min="5121" max="5121" width="4.7109375" style="104" customWidth="1"/>
    <col min="5122" max="5122" width="7.85546875" style="104" customWidth="1"/>
    <col min="5123" max="5123" width="1.85546875" style="104" customWidth="1"/>
    <col min="5124" max="5124" width="56" style="104" customWidth="1"/>
    <col min="5125" max="5125" width="37.28515625" style="104" customWidth="1"/>
    <col min="5126" max="5126" width="26.140625" style="104" customWidth="1"/>
    <col min="5127" max="5127" width="20.7109375" style="104" customWidth="1"/>
    <col min="5128" max="5128" width="18.85546875" style="104" customWidth="1"/>
    <col min="5129" max="5129" width="9.85546875" style="104" customWidth="1"/>
    <col min="5130" max="5130" width="21.85546875" style="104" bestFit="1" customWidth="1"/>
    <col min="5131" max="5131" width="4.7109375" style="104" customWidth="1"/>
    <col min="5132" max="5132" width="21.140625" style="104" customWidth="1"/>
    <col min="5133" max="5133" width="19.42578125" style="104" customWidth="1"/>
    <col min="5134" max="5134" width="28.85546875" style="104" bestFit="1" customWidth="1"/>
    <col min="5135" max="5135" width="3.140625" style="104" customWidth="1"/>
    <col min="5136" max="5136" width="21.85546875" style="104" customWidth="1"/>
    <col min="5137" max="5137" width="11.42578125" style="104" customWidth="1"/>
    <col min="5138" max="5138" width="20.5703125" style="104" bestFit="1" customWidth="1"/>
    <col min="5139" max="5376" width="11.42578125" style="104"/>
    <col min="5377" max="5377" width="4.7109375" style="104" customWidth="1"/>
    <col min="5378" max="5378" width="7.85546875" style="104" customWidth="1"/>
    <col min="5379" max="5379" width="1.85546875" style="104" customWidth="1"/>
    <col min="5380" max="5380" width="56" style="104" customWidth="1"/>
    <col min="5381" max="5381" width="37.28515625" style="104" customWidth="1"/>
    <col min="5382" max="5382" width="26.140625" style="104" customWidth="1"/>
    <col min="5383" max="5383" width="20.7109375" style="104" customWidth="1"/>
    <col min="5384" max="5384" width="18.85546875" style="104" customWidth="1"/>
    <col min="5385" max="5385" width="9.85546875" style="104" customWidth="1"/>
    <col min="5386" max="5386" width="21.85546875" style="104" bestFit="1" customWidth="1"/>
    <col min="5387" max="5387" width="4.7109375" style="104" customWidth="1"/>
    <col min="5388" max="5388" width="21.140625" style="104" customWidth="1"/>
    <col min="5389" max="5389" width="19.42578125" style="104" customWidth="1"/>
    <col min="5390" max="5390" width="28.85546875" style="104" bestFit="1" customWidth="1"/>
    <col min="5391" max="5391" width="3.140625" style="104" customWidth="1"/>
    <col min="5392" max="5392" width="21.85546875" style="104" customWidth="1"/>
    <col min="5393" max="5393" width="11.42578125" style="104" customWidth="1"/>
    <col min="5394" max="5394" width="20.5703125" style="104" bestFit="1" customWidth="1"/>
    <col min="5395" max="5632" width="11.42578125" style="104"/>
    <col min="5633" max="5633" width="4.7109375" style="104" customWidth="1"/>
    <col min="5634" max="5634" width="7.85546875" style="104" customWidth="1"/>
    <col min="5635" max="5635" width="1.85546875" style="104" customWidth="1"/>
    <col min="5636" max="5636" width="56" style="104" customWidth="1"/>
    <col min="5637" max="5637" width="37.28515625" style="104" customWidth="1"/>
    <col min="5638" max="5638" width="26.140625" style="104" customWidth="1"/>
    <col min="5639" max="5639" width="20.7109375" style="104" customWidth="1"/>
    <col min="5640" max="5640" width="18.85546875" style="104" customWidth="1"/>
    <col min="5641" max="5641" width="9.85546875" style="104" customWidth="1"/>
    <col min="5642" max="5642" width="21.85546875" style="104" bestFit="1" customWidth="1"/>
    <col min="5643" max="5643" width="4.7109375" style="104" customWidth="1"/>
    <col min="5644" max="5644" width="21.140625" style="104" customWidth="1"/>
    <col min="5645" max="5645" width="19.42578125" style="104" customWidth="1"/>
    <col min="5646" max="5646" width="28.85546875" style="104" bestFit="1" customWidth="1"/>
    <col min="5647" max="5647" width="3.140625" style="104" customWidth="1"/>
    <col min="5648" max="5648" width="21.85546875" style="104" customWidth="1"/>
    <col min="5649" max="5649" width="11.42578125" style="104" customWidth="1"/>
    <col min="5650" max="5650" width="20.5703125" style="104" bestFit="1" customWidth="1"/>
    <col min="5651" max="5888" width="11.42578125" style="104"/>
    <col min="5889" max="5889" width="4.7109375" style="104" customWidth="1"/>
    <col min="5890" max="5890" width="7.85546875" style="104" customWidth="1"/>
    <col min="5891" max="5891" width="1.85546875" style="104" customWidth="1"/>
    <col min="5892" max="5892" width="56" style="104" customWidth="1"/>
    <col min="5893" max="5893" width="37.28515625" style="104" customWidth="1"/>
    <col min="5894" max="5894" width="26.140625" style="104" customWidth="1"/>
    <col min="5895" max="5895" width="20.7109375" style="104" customWidth="1"/>
    <col min="5896" max="5896" width="18.85546875" style="104" customWidth="1"/>
    <col min="5897" max="5897" width="9.85546875" style="104" customWidth="1"/>
    <col min="5898" max="5898" width="21.85546875" style="104" bestFit="1" customWidth="1"/>
    <col min="5899" max="5899" width="4.7109375" style="104" customWidth="1"/>
    <col min="5900" max="5900" width="21.140625" style="104" customWidth="1"/>
    <col min="5901" max="5901" width="19.42578125" style="104" customWidth="1"/>
    <col min="5902" max="5902" width="28.85546875" style="104" bestFit="1" customWidth="1"/>
    <col min="5903" max="5903" width="3.140625" style="104" customWidth="1"/>
    <col min="5904" max="5904" width="21.85546875" style="104" customWidth="1"/>
    <col min="5905" max="5905" width="11.42578125" style="104" customWidth="1"/>
    <col min="5906" max="5906" width="20.5703125" style="104" bestFit="1" customWidth="1"/>
    <col min="5907" max="6144" width="11.42578125" style="104"/>
    <col min="6145" max="6145" width="4.7109375" style="104" customWidth="1"/>
    <col min="6146" max="6146" width="7.85546875" style="104" customWidth="1"/>
    <col min="6147" max="6147" width="1.85546875" style="104" customWidth="1"/>
    <col min="6148" max="6148" width="56" style="104" customWidth="1"/>
    <col min="6149" max="6149" width="37.28515625" style="104" customWidth="1"/>
    <col min="6150" max="6150" width="26.140625" style="104" customWidth="1"/>
    <col min="6151" max="6151" width="20.7109375" style="104" customWidth="1"/>
    <col min="6152" max="6152" width="18.85546875" style="104" customWidth="1"/>
    <col min="6153" max="6153" width="9.85546875" style="104" customWidth="1"/>
    <col min="6154" max="6154" width="21.85546875" style="104" bestFit="1" customWidth="1"/>
    <col min="6155" max="6155" width="4.7109375" style="104" customWidth="1"/>
    <col min="6156" max="6156" width="21.140625" style="104" customWidth="1"/>
    <col min="6157" max="6157" width="19.42578125" style="104" customWidth="1"/>
    <col min="6158" max="6158" width="28.85546875" style="104" bestFit="1" customWidth="1"/>
    <col min="6159" max="6159" width="3.140625" style="104" customWidth="1"/>
    <col min="6160" max="6160" width="21.85546875" style="104" customWidth="1"/>
    <col min="6161" max="6161" width="11.42578125" style="104" customWidth="1"/>
    <col min="6162" max="6162" width="20.5703125" style="104" bestFit="1" customWidth="1"/>
    <col min="6163" max="6400" width="11.42578125" style="104"/>
    <col min="6401" max="6401" width="4.7109375" style="104" customWidth="1"/>
    <col min="6402" max="6402" width="7.85546875" style="104" customWidth="1"/>
    <col min="6403" max="6403" width="1.85546875" style="104" customWidth="1"/>
    <col min="6404" max="6404" width="56" style="104" customWidth="1"/>
    <col min="6405" max="6405" width="37.28515625" style="104" customWidth="1"/>
    <col min="6406" max="6406" width="26.140625" style="104" customWidth="1"/>
    <col min="6407" max="6407" width="20.7109375" style="104" customWidth="1"/>
    <col min="6408" max="6408" width="18.85546875" style="104" customWidth="1"/>
    <col min="6409" max="6409" width="9.85546875" style="104" customWidth="1"/>
    <col min="6410" max="6410" width="21.85546875" style="104" bestFit="1" customWidth="1"/>
    <col min="6411" max="6411" width="4.7109375" style="104" customWidth="1"/>
    <col min="6412" max="6412" width="21.140625" style="104" customWidth="1"/>
    <col min="6413" max="6413" width="19.42578125" style="104" customWidth="1"/>
    <col min="6414" max="6414" width="28.85546875" style="104" bestFit="1" customWidth="1"/>
    <col min="6415" max="6415" width="3.140625" style="104" customWidth="1"/>
    <col min="6416" max="6416" width="21.85546875" style="104" customWidth="1"/>
    <col min="6417" max="6417" width="11.42578125" style="104" customWidth="1"/>
    <col min="6418" max="6418" width="20.5703125" style="104" bestFit="1" customWidth="1"/>
    <col min="6419" max="6656" width="11.42578125" style="104"/>
    <col min="6657" max="6657" width="4.7109375" style="104" customWidth="1"/>
    <col min="6658" max="6658" width="7.85546875" style="104" customWidth="1"/>
    <col min="6659" max="6659" width="1.85546875" style="104" customWidth="1"/>
    <col min="6660" max="6660" width="56" style="104" customWidth="1"/>
    <col min="6661" max="6661" width="37.28515625" style="104" customWidth="1"/>
    <col min="6662" max="6662" width="26.140625" style="104" customWidth="1"/>
    <col min="6663" max="6663" width="20.7109375" style="104" customWidth="1"/>
    <col min="6664" max="6664" width="18.85546875" style="104" customWidth="1"/>
    <col min="6665" max="6665" width="9.85546875" style="104" customWidth="1"/>
    <col min="6666" max="6666" width="21.85546875" style="104" bestFit="1" customWidth="1"/>
    <col min="6667" max="6667" width="4.7109375" style="104" customWidth="1"/>
    <col min="6668" max="6668" width="21.140625" style="104" customWidth="1"/>
    <col min="6669" max="6669" width="19.42578125" style="104" customWidth="1"/>
    <col min="6670" max="6670" width="28.85546875" style="104" bestFit="1" customWidth="1"/>
    <col min="6671" max="6671" width="3.140625" style="104" customWidth="1"/>
    <col min="6672" max="6672" width="21.85546875" style="104" customWidth="1"/>
    <col min="6673" max="6673" width="11.42578125" style="104" customWidth="1"/>
    <col min="6674" max="6674" width="20.5703125" style="104" bestFit="1" customWidth="1"/>
    <col min="6675" max="6912" width="11.42578125" style="104"/>
    <col min="6913" max="6913" width="4.7109375" style="104" customWidth="1"/>
    <col min="6914" max="6914" width="7.85546875" style="104" customWidth="1"/>
    <col min="6915" max="6915" width="1.85546875" style="104" customWidth="1"/>
    <col min="6916" max="6916" width="56" style="104" customWidth="1"/>
    <col min="6917" max="6917" width="37.28515625" style="104" customWidth="1"/>
    <col min="6918" max="6918" width="26.140625" style="104" customWidth="1"/>
    <col min="6919" max="6919" width="20.7109375" style="104" customWidth="1"/>
    <col min="6920" max="6920" width="18.85546875" style="104" customWidth="1"/>
    <col min="6921" max="6921" width="9.85546875" style="104" customWidth="1"/>
    <col min="6922" max="6922" width="21.85546875" style="104" bestFit="1" customWidth="1"/>
    <col min="6923" max="6923" width="4.7109375" style="104" customWidth="1"/>
    <col min="6924" max="6924" width="21.140625" style="104" customWidth="1"/>
    <col min="6925" max="6925" width="19.42578125" style="104" customWidth="1"/>
    <col min="6926" max="6926" width="28.85546875" style="104" bestFit="1" customWidth="1"/>
    <col min="6927" max="6927" width="3.140625" style="104" customWidth="1"/>
    <col min="6928" max="6928" width="21.85546875" style="104" customWidth="1"/>
    <col min="6929" max="6929" width="11.42578125" style="104" customWidth="1"/>
    <col min="6930" max="6930" width="20.5703125" style="104" bestFit="1" customWidth="1"/>
    <col min="6931" max="7168" width="11.42578125" style="104"/>
    <col min="7169" max="7169" width="4.7109375" style="104" customWidth="1"/>
    <col min="7170" max="7170" width="7.85546875" style="104" customWidth="1"/>
    <col min="7171" max="7171" width="1.85546875" style="104" customWidth="1"/>
    <col min="7172" max="7172" width="56" style="104" customWidth="1"/>
    <col min="7173" max="7173" width="37.28515625" style="104" customWidth="1"/>
    <col min="7174" max="7174" width="26.140625" style="104" customWidth="1"/>
    <col min="7175" max="7175" width="20.7109375" style="104" customWidth="1"/>
    <col min="7176" max="7176" width="18.85546875" style="104" customWidth="1"/>
    <col min="7177" max="7177" width="9.85546875" style="104" customWidth="1"/>
    <col min="7178" max="7178" width="21.85546875" style="104" bestFit="1" customWidth="1"/>
    <col min="7179" max="7179" width="4.7109375" style="104" customWidth="1"/>
    <col min="7180" max="7180" width="21.140625" style="104" customWidth="1"/>
    <col min="7181" max="7181" width="19.42578125" style="104" customWidth="1"/>
    <col min="7182" max="7182" width="28.85546875" style="104" bestFit="1" customWidth="1"/>
    <col min="7183" max="7183" width="3.140625" style="104" customWidth="1"/>
    <col min="7184" max="7184" width="21.85546875" style="104" customWidth="1"/>
    <col min="7185" max="7185" width="11.42578125" style="104" customWidth="1"/>
    <col min="7186" max="7186" width="20.5703125" style="104" bestFit="1" customWidth="1"/>
    <col min="7187" max="7424" width="11.42578125" style="104"/>
    <col min="7425" max="7425" width="4.7109375" style="104" customWidth="1"/>
    <col min="7426" max="7426" width="7.85546875" style="104" customWidth="1"/>
    <col min="7427" max="7427" width="1.85546875" style="104" customWidth="1"/>
    <col min="7428" max="7428" width="56" style="104" customWidth="1"/>
    <col min="7429" max="7429" width="37.28515625" style="104" customWidth="1"/>
    <col min="7430" max="7430" width="26.140625" style="104" customWidth="1"/>
    <col min="7431" max="7431" width="20.7109375" style="104" customWidth="1"/>
    <col min="7432" max="7432" width="18.85546875" style="104" customWidth="1"/>
    <col min="7433" max="7433" width="9.85546875" style="104" customWidth="1"/>
    <col min="7434" max="7434" width="21.85546875" style="104" bestFit="1" customWidth="1"/>
    <col min="7435" max="7435" width="4.7109375" style="104" customWidth="1"/>
    <col min="7436" max="7436" width="21.140625" style="104" customWidth="1"/>
    <col min="7437" max="7437" width="19.42578125" style="104" customWidth="1"/>
    <col min="7438" max="7438" width="28.85546875" style="104" bestFit="1" customWidth="1"/>
    <col min="7439" max="7439" width="3.140625" style="104" customWidth="1"/>
    <col min="7440" max="7440" width="21.85546875" style="104" customWidth="1"/>
    <col min="7441" max="7441" width="11.42578125" style="104" customWidth="1"/>
    <col min="7442" max="7442" width="20.5703125" style="104" bestFit="1" customWidth="1"/>
    <col min="7443" max="7680" width="11.42578125" style="104"/>
    <col min="7681" max="7681" width="4.7109375" style="104" customWidth="1"/>
    <col min="7682" max="7682" width="7.85546875" style="104" customWidth="1"/>
    <col min="7683" max="7683" width="1.85546875" style="104" customWidth="1"/>
    <col min="7684" max="7684" width="56" style="104" customWidth="1"/>
    <col min="7685" max="7685" width="37.28515625" style="104" customWidth="1"/>
    <col min="7686" max="7686" width="26.140625" style="104" customWidth="1"/>
    <col min="7687" max="7687" width="20.7109375" style="104" customWidth="1"/>
    <col min="7688" max="7688" width="18.85546875" style="104" customWidth="1"/>
    <col min="7689" max="7689" width="9.85546875" style="104" customWidth="1"/>
    <col min="7690" max="7690" width="21.85546875" style="104" bestFit="1" customWidth="1"/>
    <col min="7691" max="7691" width="4.7109375" style="104" customWidth="1"/>
    <col min="7692" max="7692" width="21.140625" style="104" customWidth="1"/>
    <col min="7693" max="7693" width="19.42578125" style="104" customWidth="1"/>
    <col min="7694" max="7694" width="28.85546875" style="104" bestFit="1" customWidth="1"/>
    <col min="7695" max="7695" width="3.140625" style="104" customWidth="1"/>
    <col min="7696" max="7696" width="21.85546875" style="104" customWidth="1"/>
    <col min="7697" max="7697" width="11.42578125" style="104" customWidth="1"/>
    <col min="7698" max="7698" width="20.5703125" style="104" bestFit="1" customWidth="1"/>
    <col min="7699" max="7936" width="11.42578125" style="104"/>
    <col min="7937" max="7937" width="4.7109375" style="104" customWidth="1"/>
    <col min="7938" max="7938" width="7.85546875" style="104" customWidth="1"/>
    <col min="7939" max="7939" width="1.85546875" style="104" customWidth="1"/>
    <col min="7940" max="7940" width="56" style="104" customWidth="1"/>
    <col min="7941" max="7941" width="37.28515625" style="104" customWidth="1"/>
    <col min="7942" max="7942" width="26.140625" style="104" customWidth="1"/>
    <col min="7943" max="7943" width="20.7109375" style="104" customWidth="1"/>
    <col min="7944" max="7944" width="18.85546875" style="104" customWidth="1"/>
    <col min="7945" max="7945" width="9.85546875" style="104" customWidth="1"/>
    <col min="7946" max="7946" width="21.85546875" style="104" bestFit="1" customWidth="1"/>
    <col min="7947" max="7947" width="4.7109375" style="104" customWidth="1"/>
    <col min="7948" max="7948" width="21.140625" style="104" customWidth="1"/>
    <col min="7949" max="7949" width="19.42578125" style="104" customWidth="1"/>
    <col min="7950" max="7950" width="28.85546875" style="104" bestFit="1" customWidth="1"/>
    <col min="7951" max="7951" width="3.140625" style="104" customWidth="1"/>
    <col min="7952" max="7952" width="21.85546875" style="104" customWidth="1"/>
    <col min="7953" max="7953" width="11.42578125" style="104" customWidth="1"/>
    <col min="7954" max="7954" width="20.5703125" style="104" bestFit="1" customWidth="1"/>
    <col min="7955" max="8192" width="11.42578125" style="104"/>
    <col min="8193" max="8193" width="4.7109375" style="104" customWidth="1"/>
    <col min="8194" max="8194" width="7.85546875" style="104" customWidth="1"/>
    <col min="8195" max="8195" width="1.85546875" style="104" customWidth="1"/>
    <col min="8196" max="8196" width="56" style="104" customWidth="1"/>
    <col min="8197" max="8197" width="37.28515625" style="104" customWidth="1"/>
    <col min="8198" max="8198" width="26.140625" style="104" customWidth="1"/>
    <col min="8199" max="8199" width="20.7109375" style="104" customWidth="1"/>
    <col min="8200" max="8200" width="18.85546875" style="104" customWidth="1"/>
    <col min="8201" max="8201" width="9.85546875" style="104" customWidth="1"/>
    <col min="8202" max="8202" width="21.85546875" style="104" bestFit="1" customWidth="1"/>
    <col min="8203" max="8203" width="4.7109375" style="104" customWidth="1"/>
    <col min="8204" max="8204" width="21.140625" style="104" customWidth="1"/>
    <col min="8205" max="8205" width="19.42578125" style="104" customWidth="1"/>
    <col min="8206" max="8206" width="28.85546875" style="104" bestFit="1" customWidth="1"/>
    <col min="8207" max="8207" width="3.140625" style="104" customWidth="1"/>
    <col min="8208" max="8208" width="21.85546875" style="104" customWidth="1"/>
    <col min="8209" max="8209" width="11.42578125" style="104" customWidth="1"/>
    <col min="8210" max="8210" width="20.5703125" style="104" bestFit="1" customWidth="1"/>
    <col min="8211" max="8448" width="11.42578125" style="104"/>
    <col min="8449" max="8449" width="4.7109375" style="104" customWidth="1"/>
    <col min="8450" max="8450" width="7.85546875" style="104" customWidth="1"/>
    <col min="8451" max="8451" width="1.85546875" style="104" customWidth="1"/>
    <col min="8452" max="8452" width="56" style="104" customWidth="1"/>
    <col min="8453" max="8453" width="37.28515625" style="104" customWidth="1"/>
    <col min="8454" max="8454" width="26.140625" style="104" customWidth="1"/>
    <col min="8455" max="8455" width="20.7109375" style="104" customWidth="1"/>
    <col min="8456" max="8456" width="18.85546875" style="104" customWidth="1"/>
    <col min="8457" max="8457" width="9.85546875" style="104" customWidth="1"/>
    <col min="8458" max="8458" width="21.85546875" style="104" bestFit="1" customWidth="1"/>
    <col min="8459" max="8459" width="4.7109375" style="104" customWidth="1"/>
    <col min="8460" max="8460" width="21.140625" style="104" customWidth="1"/>
    <col min="8461" max="8461" width="19.42578125" style="104" customWidth="1"/>
    <col min="8462" max="8462" width="28.85546875" style="104" bestFit="1" customWidth="1"/>
    <col min="8463" max="8463" width="3.140625" style="104" customWidth="1"/>
    <col min="8464" max="8464" width="21.85546875" style="104" customWidth="1"/>
    <col min="8465" max="8465" width="11.42578125" style="104" customWidth="1"/>
    <col min="8466" max="8466" width="20.5703125" style="104" bestFit="1" customWidth="1"/>
    <col min="8467" max="8704" width="11.42578125" style="104"/>
    <col min="8705" max="8705" width="4.7109375" style="104" customWidth="1"/>
    <col min="8706" max="8706" width="7.85546875" style="104" customWidth="1"/>
    <col min="8707" max="8707" width="1.85546875" style="104" customWidth="1"/>
    <col min="8708" max="8708" width="56" style="104" customWidth="1"/>
    <col min="8709" max="8709" width="37.28515625" style="104" customWidth="1"/>
    <col min="8710" max="8710" width="26.140625" style="104" customWidth="1"/>
    <col min="8711" max="8711" width="20.7109375" style="104" customWidth="1"/>
    <col min="8712" max="8712" width="18.85546875" style="104" customWidth="1"/>
    <col min="8713" max="8713" width="9.85546875" style="104" customWidth="1"/>
    <col min="8714" max="8714" width="21.85546875" style="104" bestFit="1" customWidth="1"/>
    <col min="8715" max="8715" width="4.7109375" style="104" customWidth="1"/>
    <col min="8716" max="8716" width="21.140625" style="104" customWidth="1"/>
    <col min="8717" max="8717" width="19.42578125" style="104" customWidth="1"/>
    <col min="8718" max="8718" width="28.85546875" style="104" bestFit="1" customWidth="1"/>
    <col min="8719" max="8719" width="3.140625" style="104" customWidth="1"/>
    <col min="8720" max="8720" width="21.85546875" style="104" customWidth="1"/>
    <col min="8721" max="8721" width="11.42578125" style="104" customWidth="1"/>
    <col min="8722" max="8722" width="20.5703125" style="104" bestFit="1" customWidth="1"/>
    <col min="8723" max="8960" width="11.42578125" style="104"/>
    <col min="8961" max="8961" width="4.7109375" style="104" customWidth="1"/>
    <col min="8962" max="8962" width="7.85546875" style="104" customWidth="1"/>
    <col min="8963" max="8963" width="1.85546875" style="104" customWidth="1"/>
    <col min="8964" max="8964" width="56" style="104" customWidth="1"/>
    <col min="8965" max="8965" width="37.28515625" style="104" customWidth="1"/>
    <col min="8966" max="8966" width="26.140625" style="104" customWidth="1"/>
    <col min="8967" max="8967" width="20.7109375" style="104" customWidth="1"/>
    <col min="8968" max="8968" width="18.85546875" style="104" customWidth="1"/>
    <col min="8969" max="8969" width="9.85546875" style="104" customWidth="1"/>
    <col min="8970" max="8970" width="21.85546875" style="104" bestFit="1" customWidth="1"/>
    <col min="8971" max="8971" width="4.7109375" style="104" customWidth="1"/>
    <col min="8972" max="8972" width="21.140625" style="104" customWidth="1"/>
    <col min="8973" max="8973" width="19.42578125" style="104" customWidth="1"/>
    <col min="8974" max="8974" width="28.85546875" style="104" bestFit="1" customWidth="1"/>
    <col min="8975" max="8975" width="3.140625" style="104" customWidth="1"/>
    <col min="8976" max="8976" width="21.85546875" style="104" customWidth="1"/>
    <col min="8977" max="8977" width="11.42578125" style="104" customWidth="1"/>
    <col min="8978" max="8978" width="20.5703125" style="104" bestFit="1" customWidth="1"/>
    <col min="8979" max="9216" width="11.42578125" style="104"/>
    <col min="9217" max="9217" width="4.7109375" style="104" customWidth="1"/>
    <col min="9218" max="9218" width="7.85546875" style="104" customWidth="1"/>
    <col min="9219" max="9219" width="1.85546875" style="104" customWidth="1"/>
    <col min="9220" max="9220" width="56" style="104" customWidth="1"/>
    <col min="9221" max="9221" width="37.28515625" style="104" customWidth="1"/>
    <col min="9222" max="9222" width="26.140625" style="104" customWidth="1"/>
    <col min="9223" max="9223" width="20.7109375" style="104" customWidth="1"/>
    <col min="9224" max="9224" width="18.85546875" style="104" customWidth="1"/>
    <col min="9225" max="9225" width="9.85546875" style="104" customWidth="1"/>
    <col min="9226" max="9226" width="21.85546875" style="104" bestFit="1" customWidth="1"/>
    <col min="9227" max="9227" width="4.7109375" style="104" customWidth="1"/>
    <col min="9228" max="9228" width="21.140625" style="104" customWidth="1"/>
    <col min="9229" max="9229" width="19.42578125" style="104" customWidth="1"/>
    <col min="9230" max="9230" width="28.85546875" style="104" bestFit="1" customWidth="1"/>
    <col min="9231" max="9231" width="3.140625" style="104" customWidth="1"/>
    <col min="9232" max="9232" width="21.85546875" style="104" customWidth="1"/>
    <col min="9233" max="9233" width="11.42578125" style="104" customWidth="1"/>
    <col min="9234" max="9234" width="20.5703125" style="104" bestFit="1" customWidth="1"/>
    <col min="9235" max="9472" width="11.42578125" style="104"/>
    <col min="9473" max="9473" width="4.7109375" style="104" customWidth="1"/>
    <col min="9474" max="9474" width="7.85546875" style="104" customWidth="1"/>
    <col min="9475" max="9475" width="1.85546875" style="104" customWidth="1"/>
    <col min="9476" max="9476" width="56" style="104" customWidth="1"/>
    <col min="9477" max="9477" width="37.28515625" style="104" customWidth="1"/>
    <col min="9478" max="9478" width="26.140625" style="104" customWidth="1"/>
    <col min="9479" max="9479" width="20.7109375" style="104" customWidth="1"/>
    <col min="9480" max="9480" width="18.85546875" style="104" customWidth="1"/>
    <col min="9481" max="9481" width="9.85546875" style="104" customWidth="1"/>
    <col min="9482" max="9482" width="21.85546875" style="104" bestFit="1" customWidth="1"/>
    <col min="9483" max="9483" width="4.7109375" style="104" customWidth="1"/>
    <col min="9484" max="9484" width="21.140625" style="104" customWidth="1"/>
    <col min="9485" max="9485" width="19.42578125" style="104" customWidth="1"/>
    <col min="9486" max="9486" width="28.85546875" style="104" bestFit="1" customWidth="1"/>
    <col min="9487" max="9487" width="3.140625" style="104" customWidth="1"/>
    <col min="9488" max="9488" width="21.85546875" style="104" customWidth="1"/>
    <col min="9489" max="9489" width="11.42578125" style="104" customWidth="1"/>
    <col min="9490" max="9490" width="20.5703125" style="104" bestFit="1" customWidth="1"/>
    <col min="9491" max="9728" width="11.42578125" style="104"/>
    <col min="9729" max="9729" width="4.7109375" style="104" customWidth="1"/>
    <col min="9730" max="9730" width="7.85546875" style="104" customWidth="1"/>
    <col min="9731" max="9731" width="1.85546875" style="104" customWidth="1"/>
    <col min="9732" max="9732" width="56" style="104" customWidth="1"/>
    <col min="9733" max="9733" width="37.28515625" style="104" customWidth="1"/>
    <col min="9734" max="9734" width="26.140625" style="104" customWidth="1"/>
    <col min="9735" max="9735" width="20.7109375" style="104" customWidth="1"/>
    <col min="9736" max="9736" width="18.85546875" style="104" customWidth="1"/>
    <col min="9737" max="9737" width="9.85546875" style="104" customWidth="1"/>
    <col min="9738" max="9738" width="21.85546875" style="104" bestFit="1" customWidth="1"/>
    <col min="9739" max="9739" width="4.7109375" style="104" customWidth="1"/>
    <col min="9740" max="9740" width="21.140625" style="104" customWidth="1"/>
    <col min="9741" max="9741" width="19.42578125" style="104" customWidth="1"/>
    <col min="9742" max="9742" width="28.85546875" style="104" bestFit="1" customWidth="1"/>
    <col min="9743" max="9743" width="3.140625" style="104" customWidth="1"/>
    <col min="9744" max="9744" width="21.85546875" style="104" customWidth="1"/>
    <col min="9745" max="9745" width="11.42578125" style="104" customWidth="1"/>
    <col min="9746" max="9746" width="20.5703125" style="104" bestFit="1" customWidth="1"/>
    <col min="9747" max="9984" width="11.42578125" style="104"/>
    <col min="9985" max="9985" width="4.7109375" style="104" customWidth="1"/>
    <col min="9986" max="9986" width="7.85546875" style="104" customWidth="1"/>
    <col min="9987" max="9987" width="1.85546875" style="104" customWidth="1"/>
    <col min="9988" max="9988" width="56" style="104" customWidth="1"/>
    <col min="9989" max="9989" width="37.28515625" style="104" customWidth="1"/>
    <col min="9990" max="9990" width="26.140625" style="104" customWidth="1"/>
    <col min="9991" max="9991" width="20.7109375" style="104" customWidth="1"/>
    <col min="9992" max="9992" width="18.85546875" style="104" customWidth="1"/>
    <col min="9993" max="9993" width="9.85546875" style="104" customWidth="1"/>
    <col min="9994" max="9994" width="21.85546875" style="104" bestFit="1" customWidth="1"/>
    <col min="9995" max="9995" width="4.7109375" style="104" customWidth="1"/>
    <col min="9996" max="9996" width="21.140625" style="104" customWidth="1"/>
    <col min="9997" max="9997" width="19.42578125" style="104" customWidth="1"/>
    <col min="9998" max="9998" width="28.85546875" style="104" bestFit="1" customWidth="1"/>
    <col min="9999" max="9999" width="3.140625" style="104" customWidth="1"/>
    <col min="10000" max="10000" width="21.85546875" style="104" customWidth="1"/>
    <col min="10001" max="10001" width="11.42578125" style="104" customWidth="1"/>
    <col min="10002" max="10002" width="20.5703125" style="104" bestFit="1" customWidth="1"/>
    <col min="10003" max="10240" width="11.42578125" style="104"/>
    <col min="10241" max="10241" width="4.7109375" style="104" customWidth="1"/>
    <col min="10242" max="10242" width="7.85546875" style="104" customWidth="1"/>
    <col min="10243" max="10243" width="1.85546875" style="104" customWidth="1"/>
    <col min="10244" max="10244" width="56" style="104" customWidth="1"/>
    <col min="10245" max="10245" width="37.28515625" style="104" customWidth="1"/>
    <col min="10246" max="10246" width="26.140625" style="104" customWidth="1"/>
    <col min="10247" max="10247" width="20.7109375" style="104" customWidth="1"/>
    <col min="10248" max="10248" width="18.85546875" style="104" customWidth="1"/>
    <col min="10249" max="10249" width="9.85546875" style="104" customWidth="1"/>
    <col min="10250" max="10250" width="21.85546875" style="104" bestFit="1" customWidth="1"/>
    <col min="10251" max="10251" width="4.7109375" style="104" customWidth="1"/>
    <col min="10252" max="10252" width="21.140625" style="104" customWidth="1"/>
    <col min="10253" max="10253" width="19.42578125" style="104" customWidth="1"/>
    <col min="10254" max="10254" width="28.85546875" style="104" bestFit="1" customWidth="1"/>
    <col min="10255" max="10255" width="3.140625" style="104" customWidth="1"/>
    <col min="10256" max="10256" width="21.85546875" style="104" customWidth="1"/>
    <col min="10257" max="10257" width="11.42578125" style="104" customWidth="1"/>
    <col min="10258" max="10258" width="20.5703125" style="104" bestFit="1" customWidth="1"/>
    <col min="10259" max="10496" width="11.42578125" style="104"/>
    <col min="10497" max="10497" width="4.7109375" style="104" customWidth="1"/>
    <col min="10498" max="10498" width="7.85546875" style="104" customWidth="1"/>
    <col min="10499" max="10499" width="1.85546875" style="104" customWidth="1"/>
    <col min="10500" max="10500" width="56" style="104" customWidth="1"/>
    <col min="10501" max="10501" width="37.28515625" style="104" customWidth="1"/>
    <col min="10502" max="10502" width="26.140625" style="104" customWidth="1"/>
    <col min="10503" max="10503" width="20.7109375" style="104" customWidth="1"/>
    <col min="10504" max="10504" width="18.85546875" style="104" customWidth="1"/>
    <col min="10505" max="10505" width="9.85546875" style="104" customWidth="1"/>
    <col min="10506" max="10506" width="21.85546875" style="104" bestFit="1" customWidth="1"/>
    <col min="10507" max="10507" width="4.7109375" style="104" customWidth="1"/>
    <col min="10508" max="10508" width="21.140625" style="104" customWidth="1"/>
    <col min="10509" max="10509" width="19.42578125" style="104" customWidth="1"/>
    <col min="10510" max="10510" width="28.85546875" style="104" bestFit="1" customWidth="1"/>
    <col min="10511" max="10511" width="3.140625" style="104" customWidth="1"/>
    <col min="10512" max="10512" width="21.85546875" style="104" customWidth="1"/>
    <col min="10513" max="10513" width="11.42578125" style="104" customWidth="1"/>
    <col min="10514" max="10514" width="20.5703125" style="104" bestFit="1" customWidth="1"/>
    <col min="10515" max="10752" width="11.42578125" style="104"/>
    <col min="10753" max="10753" width="4.7109375" style="104" customWidth="1"/>
    <col min="10754" max="10754" width="7.85546875" style="104" customWidth="1"/>
    <col min="10755" max="10755" width="1.85546875" style="104" customWidth="1"/>
    <col min="10756" max="10756" width="56" style="104" customWidth="1"/>
    <col min="10757" max="10757" width="37.28515625" style="104" customWidth="1"/>
    <col min="10758" max="10758" width="26.140625" style="104" customWidth="1"/>
    <col min="10759" max="10759" width="20.7109375" style="104" customWidth="1"/>
    <col min="10760" max="10760" width="18.85546875" style="104" customWidth="1"/>
    <col min="10761" max="10761" width="9.85546875" style="104" customWidth="1"/>
    <col min="10762" max="10762" width="21.85546875" style="104" bestFit="1" customWidth="1"/>
    <col min="10763" max="10763" width="4.7109375" style="104" customWidth="1"/>
    <col min="10764" max="10764" width="21.140625" style="104" customWidth="1"/>
    <col min="10765" max="10765" width="19.42578125" style="104" customWidth="1"/>
    <col min="10766" max="10766" width="28.85546875" style="104" bestFit="1" customWidth="1"/>
    <col min="10767" max="10767" width="3.140625" style="104" customWidth="1"/>
    <col min="10768" max="10768" width="21.85546875" style="104" customWidth="1"/>
    <col min="10769" max="10769" width="11.42578125" style="104" customWidth="1"/>
    <col min="10770" max="10770" width="20.5703125" style="104" bestFit="1" customWidth="1"/>
    <col min="10771" max="11008" width="11.42578125" style="104"/>
    <col min="11009" max="11009" width="4.7109375" style="104" customWidth="1"/>
    <col min="11010" max="11010" width="7.85546875" style="104" customWidth="1"/>
    <col min="11011" max="11011" width="1.85546875" style="104" customWidth="1"/>
    <col min="11012" max="11012" width="56" style="104" customWidth="1"/>
    <col min="11013" max="11013" width="37.28515625" style="104" customWidth="1"/>
    <col min="11014" max="11014" width="26.140625" style="104" customWidth="1"/>
    <col min="11015" max="11015" width="20.7109375" style="104" customWidth="1"/>
    <col min="11016" max="11016" width="18.85546875" style="104" customWidth="1"/>
    <col min="11017" max="11017" width="9.85546875" style="104" customWidth="1"/>
    <col min="11018" max="11018" width="21.85546875" style="104" bestFit="1" customWidth="1"/>
    <col min="11019" max="11019" width="4.7109375" style="104" customWidth="1"/>
    <col min="11020" max="11020" width="21.140625" style="104" customWidth="1"/>
    <col min="11021" max="11021" width="19.42578125" style="104" customWidth="1"/>
    <col min="11022" max="11022" width="28.85546875" style="104" bestFit="1" customWidth="1"/>
    <col min="11023" max="11023" width="3.140625" style="104" customWidth="1"/>
    <col min="11024" max="11024" width="21.85546875" style="104" customWidth="1"/>
    <col min="11025" max="11025" width="11.42578125" style="104" customWidth="1"/>
    <col min="11026" max="11026" width="20.5703125" style="104" bestFit="1" customWidth="1"/>
    <col min="11027" max="11264" width="11.42578125" style="104"/>
    <col min="11265" max="11265" width="4.7109375" style="104" customWidth="1"/>
    <col min="11266" max="11266" width="7.85546875" style="104" customWidth="1"/>
    <col min="11267" max="11267" width="1.85546875" style="104" customWidth="1"/>
    <col min="11268" max="11268" width="56" style="104" customWidth="1"/>
    <col min="11269" max="11269" width="37.28515625" style="104" customWidth="1"/>
    <col min="11270" max="11270" width="26.140625" style="104" customWidth="1"/>
    <col min="11271" max="11271" width="20.7109375" style="104" customWidth="1"/>
    <col min="11272" max="11272" width="18.85546875" style="104" customWidth="1"/>
    <col min="11273" max="11273" width="9.85546875" style="104" customWidth="1"/>
    <col min="11274" max="11274" width="21.85546875" style="104" bestFit="1" customWidth="1"/>
    <col min="11275" max="11275" width="4.7109375" style="104" customWidth="1"/>
    <col min="11276" max="11276" width="21.140625" style="104" customWidth="1"/>
    <col min="11277" max="11277" width="19.42578125" style="104" customWidth="1"/>
    <col min="11278" max="11278" width="28.85546875" style="104" bestFit="1" customWidth="1"/>
    <col min="11279" max="11279" width="3.140625" style="104" customWidth="1"/>
    <col min="11280" max="11280" width="21.85546875" style="104" customWidth="1"/>
    <col min="11281" max="11281" width="11.42578125" style="104" customWidth="1"/>
    <col min="11282" max="11282" width="20.5703125" style="104" bestFit="1" customWidth="1"/>
    <col min="11283" max="11520" width="11.42578125" style="104"/>
    <col min="11521" max="11521" width="4.7109375" style="104" customWidth="1"/>
    <col min="11522" max="11522" width="7.85546875" style="104" customWidth="1"/>
    <col min="11523" max="11523" width="1.85546875" style="104" customWidth="1"/>
    <col min="11524" max="11524" width="56" style="104" customWidth="1"/>
    <col min="11525" max="11525" width="37.28515625" style="104" customWidth="1"/>
    <col min="11526" max="11526" width="26.140625" style="104" customWidth="1"/>
    <col min="11527" max="11527" width="20.7109375" style="104" customWidth="1"/>
    <col min="11528" max="11528" width="18.85546875" style="104" customWidth="1"/>
    <col min="11529" max="11529" width="9.85546875" style="104" customWidth="1"/>
    <col min="11530" max="11530" width="21.85546875" style="104" bestFit="1" customWidth="1"/>
    <col min="11531" max="11531" width="4.7109375" style="104" customWidth="1"/>
    <col min="11532" max="11532" width="21.140625" style="104" customWidth="1"/>
    <col min="11533" max="11533" width="19.42578125" style="104" customWidth="1"/>
    <col min="11534" max="11534" width="28.85546875" style="104" bestFit="1" customWidth="1"/>
    <col min="11535" max="11535" width="3.140625" style="104" customWidth="1"/>
    <col min="11536" max="11536" width="21.85546875" style="104" customWidth="1"/>
    <col min="11537" max="11537" width="11.42578125" style="104" customWidth="1"/>
    <col min="11538" max="11538" width="20.5703125" style="104" bestFit="1" customWidth="1"/>
    <col min="11539" max="11776" width="11.42578125" style="104"/>
    <col min="11777" max="11777" width="4.7109375" style="104" customWidth="1"/>
    <col min="11778" max="11778" width="7.85546875" style="104" customWidth="1"/>
    <col min="11779" max="11779" width="1.85546875" style="104" customWidth="1"/>
    <col min="11780" max="11780" width="56" style="104" customWidth="1"/>
    <col min="11781" max="11781" width="37.28515625" style="104" customWidth="1"/>
    <col min="11782" max="11782" width="26.140625" style="104" customWidth="1"/>
    <col min="11783" max="11783" width="20.7109375" style="104" customWidth="1"/>
    <col min="11784" max="11784" width="18.85546875" style="104" customWidth="1"/>
    <col min="11785" max="11785" width="9.85546875" style="104" customWidth="1"/>
    <col min="11786" max="11786" width="21.85546875" style="104" bestFit="1" customWidth="1"/>
    <col min="11787" max="11787" width="4.7109375" style="104" customWidth="1"/>
    <col min="11788" max="11788" width="21.140625" style="104" customWidth="1"/>
    <col min="11789" max="11789" width="19.42578125" style="104" customWidth="1"/>
    <col min="11790" max="11790" width="28.85546875" style="104" bestFit="1" customWidth="1"/>
    <col min="11791" max="11791" width="3.140625" style="104" customWidth="1"/>
    <col min="11792" max="11792" width="21.85546875" style="104" customWidth="1"/>
    <col min="11793" max="11793" width="11.42578125" style="104" customWidth="1"/>
    <col min="11794" max="11794" width="20.5703125" style="104" bestFit="1" customWidth="1"/>
    <col min="11795" max="12032" width="11.42578125" style="104"/>
    <col min="12033" max="12033" width="4.7109375" style="104" customWidth="1"/>
    <col min="12034" max="12034" width="7.85546875" style="104" customWidth="1"/>
    <col min="12035" max="12035" width="1.85546875" style="104" customWidth="1"/>
    <col min="12036" max="12036" width="56" style="104" customWidth="1"/>
    <col min="12037" max="12037" width="37.28515625" style="104" customWidth="1"/>
    <col min="12038" max="12038" width="26.140625" style="104" customWidth="1"/>
    <col min="12039" max="12039" width="20.7109375" style="104" customWidth="1"/>
    <col min="12040" max="12040" width="18.85546875" style="104" customWidth="1"/>
    <col min="12041" max="12041" width="9.85546875" style="104" customWidth="1"/>
    <col min="12042" max="12042" width="21.85546875" style="104" bestFit="1" customWidth="1"/>
    <col min="12043" max="12043" width="4.7109375" style="104" customWidth="1"/>
    <col min="12044" max="12044" width="21.140625" style="104" customWidth="1"/>
    <col min="12045" max="12045" width="19.42578125" style="104" customWidth="1"/>
    <col min="12046" max="12046" width="28.85546875" style="104" bestFit="1" customWidth="1"/>
    <col min="12047" max="12047" width="3.140625" style="104" customWidth="1"/>
    <col min="12048" max="12048" width="21.85546875" style="104" customWidth="1"/>
    <col min="12049" max="12049" width="11.42578125" style="104" customWidth="1"/>
    <col min="12050" max="12050" width="20.5703125" style="104" bestFit="1" customWidth="1"/>
    <col min="12051" max="12288" width="11.42578125" style="104"/>
    <col min="12289" max="12289" width="4.7109375" style="104" customWidth="1"/>
    <col min="12290" max="12290" width="7.85546875" style="104" customWidth="1"/>
    <col min="12291" max="12291" width="1.85546875" style="104" customWidth="1"/>
    <col min="12292" max="12292" width="56" style="104" customWidth="1"/>
    <col min="12293" max="12293" width="37.28515625" style="104" customWidth="1"/>
    <col min="12294" max="12294" width="26.140625" style="104" customWidth="1"/>
    <col min="12295" max="12295" width="20.7109375" style="104" customWidth="1"/>
    <col min="12296" max="12296" width="18.85546875" style="104" customWidth="1"/>
    <col min="12297" max="12297" width="9.85546875" style="104" customWidth="1"/>
    <col min="12298" max="12298" width="21.85546875" style="104" bestFit="1" customWidth="1"/>
    <col min="12299" max="12299" width="4.7109375" style="104" customWidth="1"/>
    <col min="12300" max="12300" width="21.140625" style="104" customWidth="1"/>
    <col min="12301" max="12301" width="19.42578125" style="104" customWidth="1"/>
    <col min="12302" max="12302" width="28.85546875" style="104" bestFit="1" customWidth="1"/>
    <col min="12303" max="12303" width="3.140625" style="104" customWidth="1"/>
    <col min="12304" max="12304" width="21.85546875" style="104" customWidth="1"/>
    <col min="12305" max="12305" width="11.42578125" style="104" customWidth="1"/>
    <col min="12306" max="12306" width="20.5703125" style="104" bestFit="1" customWidth="1"/>
    <col min="12307" max="12544" width="11.42578125" style="104"/>
    <col min="12545" max="12545" width="4.7109375" style="104" customWidth="1"/>
    <col min="12546" max="12546" width="7.85546875" style="104" customWidth="1"/>
    <col min="12547" max="12547" width="1.85546875" style="104" customWidth="1"/>
    <col min="12548" max="12548" width="56" style="104" customWidth="1"/>
    <col min="12549" max="12549" width="37.28515625" style="104" customWidth="1"/>
    <col min="12550" max="12550" width="26.140625" style="104" customWidth="1"/>
    <col min="12551" max="12551" width="20.7109375" style="104" customWidth="1"/>
    <col min="12552" max="12552" width="18.85546875" style="104" customWidth="1"/>
    <col min="12553" max="12553" width="9.85546875" style="104" customWidth="1"/>
    <col min="12554" max="12554" width="21.85546875" style="104" bestFit="1" customWidth="1"/>
    <col min="12555" max="12555" width="4.7109375" style="104" customWidth="1"/>
    <col min="12556" max="12556" width="21.140625" style="104" customWidth="1"/>
    <col min="12557" max="12557" width="19.42578125" style="104" customWidth="1"/>
    <col min="12558" max="12558" width="28.85546875" style="104" bestFit="1" customWidth="1"/>
    <col min="12559" max="12559" width="3.140625" style="104" customWidth="1"/>
    <col min="12560" max="12560" width="21.85546875" style="104" customWidth="1"/>
    <col min="12561" max="12561" width="11.42578125" style="104" customWidth="1"/>
    <col min="12562" max="12562" width="20.5703125" style="104" bestFit="1" customWidth="1"/>
    <col min="12563" max="12800" width="11.42578125" style="104"/>
    <col min="12801" max="12801" width="4.7109375" style="104" customWidth="1"/>
    <col min="12802" max="12802" width="7.85546875" style="104" customWidth="1"/>
    <col min="12803" max="12803" width="1.85546875" style="104" customWidth="1"/>
    <col min="12804" max="12804" width="56" style="104" customWidth="1"/>
    <col min="12805" max="12805" width="37.28515625" style="104" customWidth="1"/>
    <col min="12806" max="12806" width="26.140625" style="104" customWidth="1"/>
    <col min="12807" max="12807" width="20.7109375" style="104" customWidth="1"/>
    <col min="12808" max="12808" width="18.85546875" style="104" customWidth="1"/>
    <col min="12809" max="12809" width="9.85546875" style="104" customWidth="1"/>
    <col min="12810" max="12810" width="21.85546875" style="104" bestFit="1" customWidth="1"/>
    <col min="12811" max="12811" width="4.7109375" style="104" customWidth="1"/>
    <col min="12812" max="12812" width="21.140625" style="104" customWidth="1"/>
    <col min="12813" max="12813" width="19.42578125" style="104" customWidth="1"/>
    <col min="12814" max="12814" width="28.85546875" style="104" bestFit="1" customWidth="1"/>
    <col min="12815" max="12815" width="3.140625" style="104" customWidth="1"/>
    <col min="12816" max="12816" width="21.85546875" style="104" customWidth="1"/>
    <col min="12817" max="12817" width="11.42578125" style="104" customWidth="1"/>
    <col min="12818" max="12818" width="20.5703125" style="104" bestFit="1" customWidth="1"/>
    <col min="12819" max="13056" width="11.42578125" style="104"/>
    <col min="13057" max="13057" width="4.7109375" style="104" customWidth="1"/>
    <col min="13058" max="13058" width="7.85546875" style="104" customWidth="1"/>
    <col min="13059" max="13059" width="1.85546875" style="104" customWidth="1"/>
    <col min="13060" max="13060" width="56" style="104" customWidth="1"/>
    <col min="13061" max="13061" width="37.28515625" style="104" customWidth="1"/>
    <col min="13062" max="13062" width="26.140625" style="104" customWidth="1"/>
    <col min="13063" max="13063" width="20.7109375" style="104" customWidth="1"/>
    <col min="13064" max="13064" width="18.85546875" style="104" customWidth="1"/>
    <col min="13065" max="13065" width="9.85546875" style="104" customWidth="1"/>
    <col min="13066" max="13066" width="21.85546875" style="104" bestFit="1" customWidth="1"/>
    <col min="13067" max="13067" width="4.7109375" style="104" customWidth="1"/>
    <col min="13068" max="13068" width="21.140625" style="104" customWidth="1"/>
    <col min="13069" max="13069" width="19.42578125" style="104" customWidth="1"/>
    <col min="13070" max="13070" width="28.85546875" style="104" bestFit="1" customWidth="1"/>
    <col min="13071" max="13071" width="3.140625" style="104" customWidth="1"/>
    <col min="13072" max="13072" width="21.85546875" style="104" customWidth="1"/>
    <col min="13073" max="13073" width="11.42578125" style="104" customWidth="1"/>
    <col min="13074" max="13074" width="20.5703125" style="104" bestFit="1" customWidth="1"/>
    <col min="13075" max="13312" width="11.42578125" style="104"/>
    <col min="13313" max="13313" width="4.7109375" style="104" customWidth="1"/>
    <col min="13314" max="13314" width="7.85546875" style="104" customWidth="1"/>
    <col min="13315" max="13315" width="1.85546875" style="104" customWidth="1"/>
    <col min="13316" max="13316" width="56" style="104" customWidth="1"/>
    <col min="13317" max="13317" width="37.28515625" style="104" customWidth="1"/>
    <col min="13318" max="13318" width="26.140625" style="104" customWidth="1"/>
    <col min="13319" max="13319" width="20.7109375" style="104" customWidth="1"/>
    <col min="13320" max="13320" width="18.85546875" style="104" customWidth="1"/>
    <col min="13321" max="13321" width="9.85546875" style="104" customWidth="1"/>
    <col min="13322" max="13322" width="21.85546875" style="104" bestFit="1" customWidth="1"/>
    <col min="13323" max="13323" width="4.7109375" style="104" customWidth="1"/>
    <col min="13324" max="13324" width="21.140625" style="104" customWidth="1"/>
    <col min="13325" max="13325" width="19.42578125" style="104" customWidth="1"/>
    <col min="13326" max="13326" width="28.85546875" style="104" bestFit="1" customWidth="1"/>
    <col min="13327" max="13327" width="3.140625" style="104" customWidth="1"/>
    <col min="13328" max="13328" width="21.85546875" style="104" customWidth="1"/>
    <col min="13329" max="13329" width="11.42578125" style="104" customWidth="1"/>
    <col min="13330" max="13330" width="20.5703125" style="104" bestFit="1" customWidth="1"/>
    <col min="13331" max="13568" width="11.42578125" style="104"/>
    <col min="13569" max="13569" width="4.7109375" style="104" customWidth="1"/>
    <col min="13570" max="13570" width="7.85546875" style="104" customWidth="1"/>
    <col min="13571" max="13571" width="1.85546875" style="104" customWidth="1"/>
    <col min="13572" max="13572" width="56" style="104" customWidth="1"/>
    <col min="13573" max="13573" width="37.28515625" style="104" customWidth="1"/>
    <col min="13574" max="13574" width="26.140625" style="104" customWidth="1"/>
    <col min="13575" max="13575" width="20.7109375" style="104" customWidth="1"/>
    <col min="13576" max="13576" width="18.85546875" style="104" customWidth="1"/>
    <col min="13577" max="13577" width="9.85546875" style="104" customWidth="1"/>
    <col min="13578" max="13578" width="21.85546875" style="104" bestFit="1" customWidth="1"/>
    <col min="13579" max="13579" width="4.7109375" style="104" customWidth="1"/>
    <col min="13580" max="13580" width="21.140625" style="104" customWidth="1"/>
    <col min="13581" max="13581" width="19.42578125" style="104" customWidth="1"/>
    <col min="13582" max="13582" width="28.85546875" style="104" bestFit="1" customWidth="1"/>
    <col min="13583" max="13583" width="3.140625" style="104" customWidth="1"/>
    <col min="13584" max="13584" width="21.85546875" style="104" customWidth="1"/>
    <col min="13585" max="13585" width="11.42578125" style="104" customWidth="1"/>
    <col min="13586" max="13586" width="20.5703125" style="104" bestFit="1" customWidth="1"/>
    <col min="13587" max="13824" width="11.42578125" style="104"/>
    <col min="13825" max="13825" width="4.7109375" style="104" customWidth="1"/>
    <col min="13826" max="13826" width="7.85546875" style="104" customWidth="1"/>
    <col min="13827" max="13827" width="1.85546875" style="104" customWidth="1"/>
    <col min="13828" max="13828" width="56" style="104" customWidth="1"/>
    <col min="13829" max="13829" width="37.28515625" style="104" customWidth="1"/>
    <col min="13830" max="13830" width="26.140625" style="104" customWidth="1"/>
    <col min="13831" max="13831" width="20.7109375" style="104" customWidth="1"/>
    <col min="13832" max="13832" width="18.85546875" style="104" customWidth="1"/>
    <col min="13833" max="13833" width="9.85546875" style="104" customWidth="1"/>
    <col min="13834" max="13834" width="21.85546875" style="104" bestFit="1" customWidth="1"/>
    <col min="13835" max="13835" width="4.7109375" style="104" customWidth="1"/>
    <col min="13836" max="13836" width="21.140625" style="104" customWidth="1"/>
    <col min="13837" max="13837" width="19.42578125" style="104" customWidth="1"/>
    <col min="13838" max="13838" width="28.85546875" style="104" bestFit="1" customWidth="1"/>
    <col min="13839" max="13839" width="3.140625" style="104" customWidth="1"/>
    <col min="13840" max="13840" width="21.85546875" style="104" customWidth="1"/>
    <col min="13841" max="13841" width="11.42578125" style="104" customWidth="1"/>
    <col min="13842" max="13842" width="20.5703125" style="104" bestFit="1" customWidth="1"/>
    <col min="13843" max="14080" width="11.42578125" style="104"/>
    <col min="14081" max="14081" width="4.7109375" style="104" customWidth="1"/>
    <col min="14082" max="14082" width="7.85546875" style="104" customWidth="1"/>
    <col min="14083" max="14083" width="1.85546875" style="104" customWidth="1"/>
    <col min="14084" max="14084" width="56" style="104" customWidth="1"/>
    <col min="14085" max="14085" width="37.28515625" style="104" customWidth="1"/>
    <col min="14086" max="14086" width="26.140625" style="104" customWidth="1"/>
    <col min="14087" max="14087" width="20.7109375" style="104" customWidth="1"/>
    <col min="14088" max="14088" width="18.85546875" style="104" customWidth="1"/>
    <col min="14089" max="14089" width="9.85546875" style="104" customWidth="1"/>
    <col min="14090" max="14090" width="21.85546875" style="104" bestFit="1" customWidth="1"/>
    <col min="14091" max="14091" width="4.7109375" style="104" customWidth="1"/>
    <col min="14092" max="14092" width="21.140625" style="104" customWidth="1"/>
    <col min="14093" max="14093" width="19.42578125" style="104" customWidth="1"/>
    <col min="14094" max="14094" width="28.85546875" style="104" bestFit="1" customWidth="1"/>
    <col min="14095" max="14095" width="3.140625" style="104" customWidth="1"/>
    <col min="14096" max="14096" width="21.85546875" style="104" customWidth="1"/>
    <col min="14097" max="14097" width="11.42578125" style="104" customWidth="1"/>
    <col min="14098" max="14098" width="20.5703125" style="104" bestFit="1" customWidth="1"/>
    <col min="14099" max="14336" width="11.42578125" style="104"/>
    <col min="14337" max="14337" width="4.7109375" style="104" customWidth="1"/>
    <col min="14338" max="14338" width="7.85546875" style="104" customWidth="1"/>
    <col min="14339" max="14339" width="1.85546875" style="104" customWidth="1"/>
    <col min="14340" max="14340" width="56" style="104" customWidth="1"/>
    <col min="14341" max="14341" width="37.28515625" style="104" customWidth="1"/>
    <col min="14342" max="14342" width="26.140625" style="104" customWidth="1"/>
    <col min="14343" max="14343" width="20.7109375" style="104" customWidth="1"/>
    <col min="14344" max="14344" width="18.85546875" style="104" customWidth="1"/>
    <col min="14345" max="14345" width="9.85546875" style="104" customWidth="1"/>
    <col min="14346" max="14346" width="21.85546875" style="104" bestFit="1" customWidth="1"/>
    <col min="14347" max="14347" width="4.7109375" style="104" customWidth="1"/>
    <col min="14348" max="14348" width="21.140625" style="104" customWidth="1"/>
    <col min="14349" max="14349" width="19.42578125" style="104" customWidth="1"/>
    <col min="14350" max="14350" width="28.85546875" style="104" bestFit="1" customWidth="1"/>
    <col min="14351" max="14351" width="3.140625" style="104" customWidth="1"/>
    <col min="14352" max="14352" width="21.85546875" style="104" customWidth="1"/>
    <col min="14353" max="14353" width="11.42578125" style="104" customWidth="1"/>
    <col min="14354" max="14354" width="20.5703125" style="104" bestFit="1" customWidth="1"/>
    <col min="14355" max="14592" width="11.42578125" style="104"/>
    <col min="14593" max="14593" width="4.7109375" style="104" customWidth="1"/>
    <col min="14594" max="14594" width="7.85546875" style="104" customWidth="1"/>
    <col min="14595" max="14595" width="1.85546875" style="104" customWidth="1"/>
    <col min="14596" max="14596" width="56" style="104" customWidth="1"/>
    <col min="14597" max="14597" width="37.28515625" style="104" customWidth="1"/>
    <col min="14598" max="14598" width="26.140625" style="104" customWidth="1"/>
    <col min="14599" max="14599" width="20.7109375" style="104" customWidth="1"/>
    <col min="14600" max="14600" width="18.85546875" style="104" customWidth="1"/>
    <col min="14601" max="14601" width="9.85546875" style="104" customWidth="1"/>
    <col min="14602" max="14602" width="21.85546875" style="104" bestFit="1" customWidth="1"/>
    <col min="14603" max="14603" width="4.7109375" style="104" customWidth="1"/>
    <col min="14604" max="14604" width="21.140625" style="104" customWidth="1"/>
    <col min="14605" max="14605" width="19.42578125" style="104" customWidth="1"/>
    <col min="14606" max="14606" width="28.85546875" style="104" bestFit="1" customWidth="1"/>
    <col min="14607" max="14607" width="3.140625" style="104" customWidth="1"/>
    <col min="14608" max="14608" width="21.85546875" style="104" customWidth="1"/>
    <col min="14609" max="14609" width="11.42578125" style="104" customWidth="1"/>
    <col min="14610" max="14610" width="20.5703125" style="104" bestFit="1" customWidth="1"/>
    <col min="14611" max="14848" width="11.42578125" style="104"/>
    <col min="14849" max="14849" width="4.7109375" style="104" customWidth="1"/>
    <col min="14850" max="14850" width="7.85546875" style="104" customWidth="1"/>
    <col min="14851" max="14851" width="1.85546875" style="104" customWidth="1"/>
    <col min="14852" max="14852" width="56" style="104" customWidth="1"/>
    <col min="14853" max="14853" width="37.28515625" style="104" customWidth="1"/>
    <col min="14854" max="14854" width="26.140625" style="104" customWidth="1"/>
    <col min="14855" max="14855" width="20.7109375" style="104" customWidth="1"/>
    <col min="14856" max="14856" width="18.85546875" style="104" customWidth="1"/>
    <col min="14857" max="14857" width="9.85546875" style="104" customWidth="1"/>
    <col min="14858" max="14858" width="21.85546875" style="104" bestFit="1" customWidth="1"/>
    <col min="14859" max="14859" width="4.7109375" style="104" customWidth="1"/>
    <col min="14860" max="14860" width="21.140625" style="104" customWidth="1"/>
    <col min="14861" max="14861" width="19.42578125" style="104" customWidth="1"/>
    <col min="14862" max="14862" width="28.85546875" style="104" bestFit="1" customWidth="1"/>
    <col min="14863" max="14863" width="3.140625" style="104" customWidth="1"/>
    <col min="14864" max="14864" width="21.85546875" style="104" customWidth="1"/>
    <col min="14865" max="14865" width="11.42578125" style="104" customWidth="1"/>
    <col min="14866" max="14866" width="20.5703125" style="104" bestFit="1" customWidth="1"/>
    <col min="14867" max="15104" width="11.42578125" style="104"/>
    <col min="15105" max="15105" width="4.7109375" style="104" customWidth="1"/>
    <col min="15106" max="15106" width="7.85546875" style="104" customWidth="1"/>
    <col min="15107" max="15107" width="1.85546875" style="104" customWidth="1"/>
    <col min="15108" max="15108" width="56" style="104" customWidth="1"/>
    <col min="15109" max="15109" width="37.28515625" style="104" customWidth="1"/>
    <col min="15110" max="15110" width="26.140625" style="104" customWidth="1"/>
    <col min="15111" max="15111" width="20.7109375" style="104" customWidth="1"/>
    <col min="15112" max="15112" width="18.85546875" style="104" customWidth="1"/>
    <col min="15113" max="15113" width="9.85546875" style="104" customWidth="1"/>
    <col min="15114" max="15114" width="21.85546875" style="104" bestFit="1" customWidth="1"/>
    <col min="15115" max="15115" width="4.7109375" style="104" customWidth="1"/>
    <col min="15116" max="15116" width="21.140625" style="104" customWidth="1"/>
    <col min="15117" max="15117" width="19.42578125" style="104" customWidth="1"/>
    <col min="15118" max="15118" width="28.85546875" style="104" bestFit="1" customWidth="1"/>
    <col min="15119" max="15119" width="3.140625" style="104" customWidth="1"/>
    <col min="15120" max="15120" width="21.85546875" style="104" customWidth="1"/>
    <col min="15121" max="15121" width="11.42578125" style="104" customWidth="1"/>
    <col min="15122" max="15122" width="20.5703125" style="104" bestFit="1" customWidth="1"/>
    <col min="15123" max="15360" width="11.42578125" style="104"/>
    <col min="15361" max="15361" width="4.7109375" style="104" customWidth="1"/>
    <col min="15362" max="15362" width="7.85546875" style="104" customWidth="1"/>
    <col min="15363" max="15363" width="1.85546875" style="104" customWidth="1"/>
    <col min="15364" max="15364" width="56" style="104" customWidth="1"/>
    <col min="15365" max="15365" width="37.28515625" style="104" customWidth="1"/>
    <col min="15366" max="15366" width="26.140625" style="104" customWidth="1"/>
    <col min="15367" max="15367" width="20.7109375" style="104" customWidth="1"/>
    <col min="15368" max="15368" width="18.85546875" style="104" customWidth="1"/>
    <col min="15369" max="15369" width="9.85546875" style="104" customWidth="1"/>
    <col min="15370" max="15370" width="21.85546875" style="104" bestFit="1" customWidth="1"/>
    <col min="15371" max="15371" width="4.7109375" style="104" customWidth="1"/>
    <col min="15372" max="15372" width="21.140625" style="104" customWidth="1"/>
    <col min="15373" max="15373" width="19.42578125" style="104" customWidth="1"/>
    <col min="15374" max="15374" width="28.85546875" style="104" bestFit="1" customWidth="1"/>
    <col min="15375" max="15375" width="3.140625" style="104" customWidth="1"/>
    <col min="15376" max="15376" width="21.85546875" style="104" customWidth="1"/>
    <col min="15377" max="15377" width="11.42578125" style="104" customWidth="1"/>
    <col min="15378" max="15378" width="20.5703125" style="104" bestFit="1" customWidth="1"/>
    <col min="15379" max="15616" width="11.42578125" style="104"/>
    <col min="15617" max="15617" width="4.7109375" style="104" customWidth="1"/>
    <col min="15618" max="15618" width="7.85546875" style="104" customWidth="1"/>
    <col min="15619" max="15619" width="1.85546875" style="104" customWidth="1"/>
    <col min="15620" max="15620" width="56" style="104" customWidth="1"/>
    <col min="15621" max="15621" width="37.28515625" style="104" customWidth="1"/>
    <col min="15622" max="15622" width="26.140625" style="104" customWidth="1"/>
    <col min="15623" max="15623" width="20.7109375" style="104" customWidth="1"/>
    <col min="15624" max="15624" width="18.85546875" style="104" customWidth="1"/>
    <col min="15625" max="15625" width="9.85546875" style="104" customWidth="1"/>
    <col min="15626" max="15626" width="21.85546875" style="104" bestFit="1" customWidth="1"/>
    <col min="15627" max="15627" width="4.7109375" style="104" customWidth="1"/>
    <col min="15628" max="15628" width="21.140625" style="104" customWidth="1"/>
    <col min="15629" max="15629" width="19.42578125" style="104" customWidth="1"/>
    <col min="15630" max="15630" width="28.85546875" style="104" bestFit="1" customWidth="1"/>
    <col min="15631" max="15631" width="3.140625" style="104" customWidth="1"/>
    <col min="15632" max="15632" width="21.85546875" style="104" customWidth="1"/>
    <col min="15633" max="15633" width="11.42578125" style="104" customWidth="1"/>
    <col min="15634" max="15634" width="20.5703125" style="104" bestFit="1" customWidth="1"/>
    <col min="15635" max="15872" width="11.42578125" style="104"/>
    <col min="15873" max="15873" width="4.7109375" style="104" customWidth="1"/>
    <col min="15874" max="15874" width="7.85546875" style="104" customWidth="1"/>
    <col min="15875" max="15875" width="1.85546875" style="104" customWidth="1"/>
    <col min="15876" max="15876" width="56" style="104" customWidth="1"/>
    <col min="15877" max="15877" width="37.28515625" style="104" customWidth="1"/>
    <col min="15878" max="15878" width="26.140625" style="104" customWidth="1"/>
    <col min="15879" max="15879" width="20.7109375" style="104" customWidth="1"/>
    <col min="15880" max="15880" width="18.85546875" style="104" customWidth="1"/>
    <col min="15881" max="15881" width="9.85546875" style="104" customWidth="1"/>
    <col min="15882" max="15882" width="21.85546875" style="104" bestFit="1" customWidth="1"/>
    <col min="15883" max="15883" width="4.7109375" style="104" customWidth="1"/>
    <col min="15884" max="15884" width="21.140625" style="104" customWidth="1"/>
    <col min="15885" max="15885" width="19.42578125" style="104" customWidth="1"/>
    <col min="15886" max="15886" width="28.85546875" style="104" bestFit="1" customWidth="1"/>
    <col min="15887" max="15887" width="3.140625" style="104" customWidth="1"/>
    <col min="15888" max="15888" width="21.85546875" style="104" customWidth="1"/>
    <col min="15889" max="15889" width="11.42578125" style="104" customWidth="1"/>
    <col min="15890" max="15890" width="20.5703125" style="104" bestFit="1" customWidth="1"/>
    <col min="15891" max="16128" width="11.42578125" style="104"/>
    <col min="16129" max="16129" width="4.7109375" style="104" customWidth="1"/>
    <col min="16130" max="16130" width="7.85546875" style="104" customWidth="1"/>
    <col min="16131" max="16131" width="1.85546875" style="104" customWidth="1"/>
    <col min="16132" max="16132" width="56" style="104" customWidth="1"/>
    <col min="16133" max="16133" width="37.28515625" style="104" customWidth="1"/>
    <col min="16134" max="16134" width="26.140625" style="104" customWidth="1"/>
    <col min="16135" max="16135" width="20.7109375" style="104" customWidth="1"/>
    <col min="16136" max="16136" width="18.85546875" style="104" customWidth="1"/>
    <col min="16137" max="16137" width="9.85546875" style="104" customWidth="1"/>
    <col min="16138" max="16138" width="21.85546875" style="104" bestFit="1" customWidth="1"/>
    <col min="16139" max="16139" width="4.7109375" style="104" customWidth="1"/>
    <col min="16140" max="16140" width="21.140625" style="104" customWidth="1"/>
    <col min="16141" max="16141" width="19.42578125" style="104" customWidth="1"/>
    <col min="16142" max="16142" width="28.85546875" style="104" bestFit="1" customWidth="1"/>
    <col min="16143" max="16143" width="3.140625" style="104" customWidth="1"/>
    <col min="16144" max="16144" width="21.85546875" style="104" customWidth="1"/>
    <col min="16145" max="16145" width="11.42578125" style="104" customWidth="1"/>
    <col min="16146" max="16146" width="20.5703125" style="104" bestFit="1" customWidth="1"/>
    <col min="16147" max="16384" width="11.42578125" style="104"/>
  </cols>
  <sheetData>
    <row r="1" spans="2:16" ht="15.75">
      <c r="B1" s="336"/>
      <c r="C1" s="192"/>
      <c r="D1" s="318"/>
      <c r="E1" s="145"/>
      <c r="F1" s="145"/>
      <c r="G1" s="144"/>
      <c r="H1" s="192"/>
      <c r="I1" s="249"/>
      <c r="J1" s="249"/>
      <c r="K1" s="249"/>
      <c r="L1" s="120"/>
      <c r="M1" s="120"/>
      <c r="N1" s="409">
        <f>'[4]OKT Historic TCOS'!O1</f>
        <v>2015</v>
      </c>
    </row>
    <row r="2" spans="2:16">
      <c r="B2" s="336"/>
      <c r="C2" s="192"/>
      <c r="D2" s="120"/>
      <c r="E2" s="192"/>
      <c r="F2" s="192"/>
      <c r="G2" s="192"/>
      <c r="H2" s="192"/>
      <c r="I2" s="192"/>
      <c r="J2" s="192"/>
      <c r="K2" s="192"/>
      <c r="L2" s="192"/>
      <c r="M2" s="120"/>
      <c r="N2" s="409">
        <f>'[4]OKT Historic TCOS'!O2</f>
        <v>2016</v>
      </c>
    </row>
    <row r="3" spans="2:16">
      <c r="B3" s="336"/>
      <c r="C3" s="192"/>
      <c r="D3" s="119"/>
      <c r="E3" s="119"/>
      <c r="F3" s="408" t="s">
        <v>543</v>
      </c>
      <c r="G3" s="407"/>
      <c r="H3" s="404"/>
      <c r="J3" s="135"/>
      <c r="K3" s="138"/>
      <c r="L3" s="138"/>
      <c r="M3" s="403"/>
    </row>
    <row r="4" spans="2:16">
      <c r="B4" s="336"/>
      <c r="C4" s="192"/>
      <c r="D4" s="119"/>
      <c r="E4" s="139"/>
      <c r="F4" s="406" t="s">
        <v>542</v>
      </c>
      <c r="G4" s="404"/>
      <c r="H4" s="404"/>
      <c r="J4" s="139"/>
      <c r="K4" s="138"/>
      <c r="L4" s="138"/>
      <c r="M4" s="403"/>
    </row>
    <row r="5" spans="2:16">
      <c r="B5" s="336"/>
      <c r="C5" s="192"/>
      <c r="D5" s="125"/>
      <c r="E5" s="138"/>
      <c r="F5" s="405" t="str">
        <f>"Utilizing Actual Cost Data for "&amp;'[4]OKT Historic TCOS'!O1&amp;" with Average Ratebase Balances"</f>
        <v>Utilizing Actual Cost Data for 2015 with Average Ratebase Balances</v>
      </c>
      <c r="G5" s="404"/>
      <c r="H5" s="404"/>
      <c r="J5" s="138"/>
      <c r="K5" s="138"/>
      <c r="L5" s="138"/>
      <c r="M5" s="403"/>
    </row>
    <row r="6" spans="2:16">
      <c r="B6" s="134"/>
      <c r="C6" s="133"/>
      <c r="D6" s="125"/>
      <c r="H6" s="335"/>
      <c r="I6" s="335"/>
      <c r="J6" s="335"/>
      <c r="K6" s="335"/>
      <c r="L6" s="138"/>
      <c r="M6" s="125"/>
    </row>
    <row r="7" spans="2:16" ht="15.75">
      <c r="B7" s="134"/>
      <c r="C7" s="133"/>
      <c r="D7" s="143"/>
      <c r="E7" s="125"/>
      <c r="F7" s="402" t="str">
        <f>'[4]OKT Historic TCOS'!F7</f>
        <v>AEP OKLAHOMA TRANSMISSION COMPANY, INC</v>
      </c>
      <c r="G7" s="401"/>
      <c r="H7" s="138"/>
      <c r="I7" s="138"/>
      <c r="J7" s="138"/>
      <c r="K7" s="138"/>
      <c r="L7" s="108"/>
      <c r="M7" s="108"/>
      <c r="N7" s="108"/>
    </row>
    <row r="8" spans="2:16">
      <c r="B8" s="134"/>
      <c r="C8" s="133"/>
      <c r="D8" s="125"/>
      <c r="E8" s="138"/>
      <c r="F8" s="400"/>
      <c r="G8" s="399"/>
      <c r="H8" s="138"/>
      <c r="I8" s="138"/>
      <c r="J8" s="138"/>
      <c r="K8" s="138"/>
      <c r="L8" s="108"/>
      <c r="M8" s="108"/>
      <c r="N8" s="108"/>
    </row>
    <row r="9" spans="2:16">
      <c r="B9" s="134" t="s">
        <v>541</v>
      </c>
      <c r="C9" s="133"/>
      <c r="D9" s="138"/>
      <c r="E9" s="138"/>
      <c r="F9" s="138"/>
      <c r="G9" s="399"/>
      <c r="H9" s="138"/>
      <c r="I9" s="138"/>
      <c r="J9" s="138"/>
      <c r="K9" s="138"/>
      <c r="L9" s="133" t="s">
        <v>455</v>
      </c>
      <c r="M9" s="108"/>
      <c r="N9" s="398" t="s">
        <v>540</v>
      </c>
      <c r="O9" s="151"/>
      <c r="P9" s="398" t="s">
        <v>539</v>
      </c>
    </row>
    <row r="10" spans="2:16" ht="15.75" thickBot="1">
      <c r="B10" s="243" t="s">
        <v>388</v>
      </c>
      <c r="C10" s="132"/>
      <c r="D10" s="138"/>
      <c r="E10" s="132"/>
      <c r="F10" s="138"/>
      <c r="G10" s="138"/>
      <c r="H10" s="138"/>
      <c r="I10" s="138"/>
      <c r="J10" s="138"/>
      <c r="K10" s="138"/>
      <c r="L10" s="394" t="s">
        <v>538</v>
      </c>
      <c r="M10" s="108"/>
      <c r="N10" s="171"/>
      <c r="O10" s="151"/>
      <c r="P10" s="171"/>
    </row>
    <row r="11" spans="2:16">
      <c r="B11" s="134">
        <v>1</v>
      </c>
      <c r="C11" s="133"/>
      <c r="D11" s="397" t="s">
        <v>537</v>
      </c>
      <c r="E11" s="125" t="str">
        <f>"(ln "&amp;B178&amp;")"</f>
        <v>(ln 106)</v>
      </c>
      <c r="F11" s="125"/>
      <c r="G11" s="392"/>
      <c r="H11" s="362"/>
      <c r="I11" s="138"/>
      <c r="J11" s="138"/>
      <c r="K11" s="138"/>
      <c r="L11" s="136">
        <f>+L178</f>
        <v>47944803.799280524</v>
      </c>
      <c r="M11" s="108"/>
      <c r="N11" s="396">
        <v>50287062.011106469</v>
      </c>
      <c r="O11" s="151"/>
      <c r="P11" s="396">
        <f t="shared" ref="P11:P49" si="0">IF(N11="","",N11-L11)</f>
        <v>2342258.2118259445</v>
      </c>
    </row>
    <row r="12" spans="2:16" ht="15.75" thickBot="1">
      <c r="B12" s="134"/>
      <c r="C12" s="133"/>
      <c r="E12" s="395"/>
      <c r="F12" s="131"/>
      <c r="G12" s="394" t="s">
        <v>372</v>
      </c>
      <c r="H12" s="139"/>
      <c r="I12" s="393" t="s">
        <v>520</v>
      </c>
      <c r="J12" s="393"/>
      <c r="K12" s="138"/>
      <c r="L12" s="392"/>
      <c r="M12" s="108"/>
      <c r="N12" s="391"/>
      <c r="O12" s="151"/>
      <c r="P12" s="391" t="str">
        <f t="shared" si="0"/>
        <v/>
      </c>
    </row>
    <row r="13" spans="2:16">
      <c r="B13" s="134">
        <f>+B11+1</f>
        <v>2</v>
      </c>
      <c r="C13" s="133"/>
      <c r="D13" s="373" t="s">
        <v>536</v>
      </c>
      <c r="E13" s="305" t="s">
        <v>535</v>
      </c>
      <c r="F13" s="131"/>
      <c r="G13" s="237"/>
      <c r="H13" s="131"/>
      <c r="I13" s="175"/>
      <c r="J13" s="214"/>
      <c r="K13" s="139"/>
      <c r="L13" s="387"/>
      <c r="M13" s="108"/>
      <c r="N13" s="386"/>
      <c r="O13" s="151"/>
      <c r="P13" s="386" t="str">
        <f t="shared" si="0"/>
        <v/>
      </c>
    </row>
    <row r="14" spans="2:16">
      <c r="B14" s="134">
        <f>+B13+1</f>
        <v>3</v>
      </c>
      <c r="C14" s="133"/>
      <c r="D14" s="135" t="s">
        <v>534</v>
      </c>
      <c r="E14" s="303" t="s">
        <v>532</v>
      </c>
      <c r="F14" s="131"/>
      <c r="G14" s="237">
        <f>+'[4]OKT WS H Rev Credits'!M46</f>
        <v>1793628.0800000057</v>
      </c>
      <c r="H14" s="131"/>
      <c r="I14" s="175" t="s">
        <v>269</v>
      </c>
      <c r="J14" s="214">
        <f>VLOOKUP(I14,PSO_TU_Allocators,2,FALSE)</f>
        <v>1</v>
      </c>
      <c r="K14" s="139"/>
      <c r="L14" s="387">
        <f>+J14*G14</f>
        <v>1793628.0800000057</v>
      </c>
      <c r="M14" s="108"/>
      <c r="N14" s="386">
        <v>1793628.0800000057</v>
      </c>
      <c r="O14" s="151"/>
      <c r="P14" s="386">
        <f t="shared" si="0"/>
        <v>0</v>
      </c>
    </row>
    <row r="15" spans="2:16">
      <c r="B15" s="134">
        <f>+B14+1</f>
        <v>4</v>
      </c>
      <c r="C15" s="133"/>
      <c r="D15" s="135" t="s">
        <v>533</v>
      </c>
      <c r="E15" s="303" t="s">
        <v>532</v>
      </c>
      <c r="F15" s="131"/>
      <c r="G15" s="390">
        <f>+'[4]OKT WS H Rev Credits'!M28</f>
        <v>0</v>
      </c>
      <c r="H15" s="131"/>
      <c r="I15" s="175" t="s">
        <v>269</v>
      </c>
      <c r="J15" s="214">
        <f>VLOOKUP(I15,PSO_TU_Allocators,2,FALSE)</f>
        <v>1</v>
      </c>
      <c r="K15" s="139"/>
      <c r="L15" s="389">
        <f>+J15*G15</f>
        <v>0</v>
      </c>
      <c r="M15" s="108"/>
      <c r="N15" s="388">
        <v>0</v>
      </c>
      <c r="O15" s="151"/>
      <c r="P15" s="388">
        <f t="shared" si="0"/>
        <v>0</v>
      </c>
    </row>
    <row r="16" spans="2:16">
      <c r="B16" s="134">
        <f>+B15+1</f>
        <v>5</v>
      </c>
      <c r="C16" s="133"/>
      <c r="D16" s="135" t="s">
        <v>531</v>
      </c>
      <c r="E16" s="138"/>
      <c r="F16" s="131"/>
      <c r="G16" s="237">
        <f>+G14+G15</f>
        <v>1793628.0800000057</v>
      </c>
      <c r="H16" s="131"/>
      <c r="I16" s="175"/>
      <c r="J16" s="214"/>
      <c r="K16" s="139"/>
      <c r="L16" s="387">
        <f>+L15+L14</f>
        <v>1793628.0800000057</v>
      </c>
      <c r="M16" s="108"/>
      <c r="N16" s="386">
        <v>1793628.0800000057</v>
      </c>
      <c r="O16" s="151"/>
      <c r="P16" s="386">
        <f t="shared" si="0"/>
        <v>0</v>
      </c>
    </row>
    <row r="17" spans="2:16">
      <c r="B17" s="134"/>
      <c r="C17" s="133"/>
      <c r="D17" s="373"/>
      <c r="F17" s="139"/>
      <c r="L17" s="385"/>
      <c r="M17" s="108"/>
      <c r="N17" s="384"/>
      <c r="O17" s="151"/>
      <c r="P17" s="384" t="str">
        <f t="shared" si="0"/>
        <v/>
      </c>
    </row>
    <row r="18" spans="2:16" ht="30.75" thickBot="1">
      <c r="B18" s="115">
        <f>+B16+1</f>
        <v>6</v>
      </c>
      <c r="C18" s="114"/>
      <c r="D18" s="383" t="s">
        <v>530</v>
      </c>
      <c r="E18" s="305" t="str">
        <f>"(ln "&amp;B11&amp;" less ln " &amp;B16&amp;")"</f>
        <v>(ln 1 less ln 5)</v>
      </c>
      <c r="F18" s="138"/>
      <c r="H18" s="139"/>
      <c r="I18" s="204"/>
      <c r="J18" s="139"/>
      <c r="K18" s="139"/>
      <c r="L18" s="382">
        <f>+L11-L16</f>
        <v>46151175.719280519</v>
      </c>
      <c r="M18" s="108"/>
      <c r="N18" s="381">
        <v>48493433.931106463</v>
      </c>
      <c r="O18" s="151"/>
      <c r="P18" s="381">
        <f t="shared" si="0"/>
        <v>2342258.2118259445</v>
      </c>
    </row>
    <row r="19" spans="2:16" ht="15.75" thickTop="1">
      <c r="B19" s="115"/>
      <c r="C19" s="114"/>
      <c r="D19" s="373"/>
      <c r="E19" s="303"/>
      <c r="F19" s="138"/>
      <c r="H19" s="139"/>
      <c r="I19" s="204"/>
      <c r="J19" s="139"/>
      <c r="K19" s="139"/>
      <c r="L19" s="380"/>
      <c r="M19" s="108"/>
      <c r="N19" s="377"/>
      <c r="O19" s="151"/>
      <c r="P19" s="377" t="str">
        <f t="shared" si="0"/>
        <v/>
      </c>
    </row>
    <row r="20" spans="2:16" ht="15" customHeight="1">
      <c r="B20" s="479" t="str">
        <f>"MEMO:  The Carrying Charge Calculations on lines "&amp;B26&amp;" to "&amp;B33&amp;" below is used in calculating project revenue requirements billed on SPP Schedule 11.  The total non-incentive revenue requirements for these projects shown on line "&amp;B23&amp;" is included in the total on line "&amp;B18&amp;"."</f>
        <v>MEMO:  The Carrying Charge Calculations on lines 9 to 14 below is used in calculating project revenue requirements billed on SPP Schedule 11.  The total non-incentive revenue requirements for these projects shown on line 7 is included in the total on line 6.</v>
      </c>
      <c r="C20" s="479"/>
      <c r="D20" s="479"/>
      <c r="E20" s="479"/>
      <c r="F20" s="479"/>
      <c r="G20" s="479"/>
      <c r="H20" s="479"/>
      <c r="I20" s="479"/>
      <c r="J20" s="108"/>
      <c r="M20" s="108"/>
      <c r="N20" s="151"/>
      <c r="O20" s="151"/>
      <c r="P20" s="151" t="str">
        <f t="shared" si="0"/>
        <v/>
      </c>
    </row>
    <row r="21" spans="2:16" ht="15" customHeight="1">
      <c r="B21" s="479"/>
      <c r="C21" s="479"/>
      <c r="D21" s="479"/>
      <c r="E21" s="479"/>
      <c r="F21" s="479"/>
      <c r="G21" s="479"/>
      <c r="H21" s="479"/>
      <c r="I21" s="479"/>
      <c r="J21" s="108"/>
      <c r="K21" s="108"/>
      <c r="L21" s="108"/>
      <c r="M21" s="108"/>
      <c r="N21" s="317"/>
      <c r="O21" s="151"/>
      <c r="P21" s="317" t="str">
        <f t="shared" si="0"/>
        <v/>
      </c>
    </row>
    <row r="22" spans="2:16" ht="15" customHeight="1">
      <c r="B22" s="379"/>
      <c r="C22" s="379"/>
      <c r="D22" s="379"/>
      <c r="E22" s="379"/>
      <c r="F22" s="379"/>
      <c r="G22" s="379"/>
      <c r="H22" s="379"/>
      <c r="I22" s="379"/>
      <c r="M22" s="108"/>
      <c r="N22" s="151"/>
      <c r="O22" s="151"/>
      <c r="P22" s="151" t="str">
        <f t="shared" si="0"/>
        <v/>
      </c>
    </row>
    <row r="23" spans="2:16">
      <c r="B23" s="134">
        <f>+B18+1</f>
        <v>7</v>
      </c>
      <c r="C23" s="114"/>
      <c r="D23" s="480" t="s">
        <v>529</v>
      </c>
      <c r="E23" s="474"/>
      <c r="F23" s="131"/>
      <c r="G23" s="154">
        <f>+'[4]OKT WS G BPU ATRR True-up'!N18</f>
        <v>13185393.102653522</v>
      </c>
      <c r="H23" s="131"/>
      <c r="I23" s="175" t="s">
        <v>269</v>
      </c>
      <c r="J23" s="214">
        <f>VLOOKUP(I23,PSO_TU_Allocators,2,FALSE)</f>
        <v>1</v>
      </c>
      <c r="K23" s="125"/>
      <c r="L23" s="378">
        <f>+J23*G23</f>
        <v>13185393.102653522</v>
      </c>
      <c r="M23" s="108"/>
      <c r="N23" s="377">
        <v>13185393.102653522</v>
      </c>
      <c r="O23" s="151"/>
      <c r="P23" s="377">
        <f t="shared" si="0"/>
        <v>0</v>
      </c>
    </row>
    <row r="24" spans="2:16">
      <c r="B24" s="134"/>
      <c r="C24" s="114"/>
      <c r="D24" s="474"/>
      <c r="E24" s="474"/>
      <c r="F24" s="131"/>
      <c r="G24" s="154"/>
      <c r="H24" s="131"/>
      <c r="I24" s="131"/>
      <c r="J24" s="214"/>
      <c r="K24" s="125"/>
      <c r="L24" s="378"/>
      <c r="M24" s="108"/>
      <c r="N24" s="377"/>
      <c r="O24" s="151"/>
      <c r="P24" s="377" t="str">
        <f t="shared" si="0"/>
        <v/>
      </c>
    </row>
    <row r="25" spans="2:16">
      <c r="B25" s="115">
        <f>+B23+1</f>
        <v>8</v>
      </c>
      <c r="C25" s="114"/>
      <c r="D25" s="373" t="s">
        <v>528</v>
      </c>
      <c r="E25" s="305"/>
      <c r="F25" s="138"/>
      <c r="G25" s="376"/>
      <c r="H25" s="138"/>
      <c r="I25" s="192"/>
      <c r="J25" s="138"/>
      <c r="K25" s="138"/>
      <c r="M25" s="108"/>
      <c r="N25" s="151"/>
      <c r="O25" s="151"/>
      <c r="P25" s="151" t="str">
        <f t="shared" si="0"/>
        <v/>
      </c>
    </row>
    <row r="26" spans="2:16">
      <c r="B26" s="134">
        <f>B25+1</f>
        <v>9</v>
      </c>
      <c r="C26" s="114"/>
      <c r="D26" s="135" t="s">
        <v>526</v>
      </c>
      <c r="E26" s="125" t="str">
        <f>"(ln "&amp;B11&amp;"/ ln "&amp;B79&amp;" x 100%)"</f>
        <v>(ln 1/ ln 39 x 100%)</v>
      </c>
      <c r="F26" s="133"/>
      <c r="G26" s="133"/>
      <c r="H26" s="133"/>
      <c r="I26" s="365"/>
      <c r="J26" s="365"/>
      <c r="K26" s="365"/>
      <c r="L26" s="364">
        <f>IF(L79=0,0,(L11)/L79)</f>
        <v>0.1327780135915394</v>
      </c>
      <c r="M26" s="108"/>
      <c r="N26" s="363">
        <v>0.13284129381836365</v>
      </c>
      <c r="O26" s="151"/>
      <c r="P26" s="363">
        <f t="shared" si="0"/>
        <v>6.3280226824252717E-5</v>
      </c>
    </row>
    <row r="27" spans="2:16">
      <c r="B27" s="134">
        <f>B26+1</f>
        <v>10</v>
      </c>
      <c r="C27" s="114"/>
      <c r="D27" s="135" t="s">
        <v>527</v>
      </c>
      <c r="E27" s="125" t="str">
        <f>"(ln "&amp;B26&amp;" / 12)"</f>
        <v>(ln 9 / 12)</v>
      </c>
      <c r="F27" s="133"/>
      <c r="G27" s="133"/>
      <c r="H27" s="133"/>
      <c r="I27" s="365"/>
      <c r="J27" s="365"/>
      <c r="K27" s="365"/>
      <c r="L27" s="375">
        <f>L26/12</f>
        <v>1.1064834465961617E-2</v>
      </c>
      <c r="M27" s="108"/>
      <c r="N27" s="374">
        <v>1.1070107818196971E-2</v>
      </c>
      <c r="O27" s="151"/>
      <c r="P27" s="374">
        <f t="shared" si="0"/>
        <v>5.2733522353538148E-6</v>
      </c>
    </row>
    <row r="28" spans="2:16">
      <c r="B28" s="134"/>
      <c r="C28" s="114"/>
      <c r="D28" s="135"/>
      <c r="E28" s="125"/>
      <c r="F28" s="133"/>
      <c r="G28" s="133"/>
      <c r="H28" s="133"/>
      <c r="I28" s="365"/>
      <c r="J28" s="365"/>
      <c r="K28" s="365"/>
      <c r="L28" s="375"/>
      <c r="M28" s="108"/>
      <c r="N28" s="374"/>
      <c r="O28" s="151"/>
      <c r="P28" s="374" t="str">
        <f t="shared" si="0"/>
        <v/>
      </c>
    </row>
    <row r="29" spans="2:16">
      <c r="B29" s="134">
        <f>B27+1</f>
        <v>11</v>
      </c>
      <c r="C29" s="114"/>
      <c r="D29" s="373" t="str">
        <f>"NET PLANT CARRYING CHARGE ON LINE "&amp;B26&amp;" , W/O DEPRECIATION (w/o incentives) (Note B)"</f>
        <v>NET PLANT CARRYING CHARGE ON LINE 9 , W/O DEPRECIATION (w/o incentives) (Note B)</v>
      </c>
      <c r="E29" s="125"/>
      <c r="F29" s="133"/>
      <c r="G29" s="133"/>
      <c r="H29" s="133"/>
      <c r="I29" s="365"/>
      <c r="J29" s="365"/>
      <c r="K29" s="365"/>
      <c r="L29" s="375"/>
      <c r="M29" s="108"/>
      <c r="N29" s="374"/>
      <c r="O29" s="151"/>
      <c r="P29" s="374" t="str">
        <f t="shared" si="0"/>
        <v/>
      </c>
    </row>
    <row r="30" spans="2:16">
      <c r="B30" s="134">
        <f>B29+1</f>
        <v>12</v>
      </c>
      <c r="C30" s="114"/>
      <c r="D30" s="135" t="s">
        <v>526</v>
      </c>
      <c r="E30" s="125" t="str">
        <f>"( (ln "&amp;B11&amp;" - ln "&amp;B147&amp;") / ln "&amp;B79&amp;" x 100%)"</f>
        <v>( (ln 1 - ln 82) / ln 39 x 100%)</v>
      </c>
      <c r="F30" s="133"/>
      <c r="G30" s="133"/>
      <c r="H30" s="133"/>
      <c r="I30" s="365"/>
      <c r="J30" s="365"/>
      <c r="K30" s="365"/>
      <c r="L30" s="364">
        <f>IF(L79=0,0,(L11-L147)/L79)</f>
        <v>0.11125925027761069</v>
      </c>
      <c r="M30" s="108"/>
      <c r="N30" s="363">
        <v>0.1113294285928397</v>
      </c>
      <c r="O30" s="151"/>
      <c r="P30" s="363">
        <f t="shared" si="0"/>
        <v>7.0178315229013633E-5</v>
      </c>
    </row>
    <row r="31" spans="2:16">
      <c r="B31" s="134"/>
      <c r="C31" s="114"/>
      <c r="D31" s="135"/>
      <c r="E31" s="125"/>
      <c r="F31" s="133"/>
      <c r="G31" s="133"/>
      <c r="H31" s="133"/>
      <c r="I31" s="365"/>
      <c r="J31" s="365"/>
      <c r="K31" s="365"/>
      <c r="L31" s="375"/>
      <c r="M31" s="108"/>
      <c r="N31" s="374"/>
      <c r="O31" s="151"/>
      <c r="P31" s="374" t="str">
        <f t="shared" si="0"/>
        <v/>
      </c>
    </row>
    <row r="32" spans="2:16">
      <c r="B32" s="134">
        <f>B30+1</f>
        <v>13</v>
      </c>
      <c r="C32" s="114"/>
      <c r="D32" s="373" t="str">
        <f>"NET PLANT CARRYING CHARGE ON LINE "&amp;B29&amp;", W/O  INCOME TAXES, RETURN  (Note B)"</f>
        <v>NET PLANT CARRYING CHARGE ON LINE 11, W/O  INCOME TAXES, RETURN  (Note B)</v>
      </c>
      <c r="E32" s="125"/>
      <c r="F32" s="133"/>
      <c r="G32" s="133"/>
      <c r="H32" s="133"/>
      <c r="I32" s="365"/>
      <c r="J32" s="365"/>
      <c r="K32" s="365"/>
      <c r="L32" s="372"/>
      <c r="M32" s="108"/>
      <c r="N32" s="371"/>
      <c r="O32" s="151"/>
      <c r="P32" s="371" t="str">
        <f t="shared" si="0"/>
        <v/>
      </c>
    </row>
    <row r="33" spans="2:16">
      <c r="B33" s="134">
        <f>B32+1</f>
        <v>14</v>
      </c>
      <c r="C33" s="114"/>
      <c r="D33" s="135" t="s">
        <v>526</v>
      </c>
      <c r="E33" s="125" t="str">
        <f>"( (ln "&amp;B11&amp;" - ln "&amp;B147&amp;" - ln "&amp;B172&amp;" - ln "&amp;B174&amp;") / ln "&amp;B79&amp;" x 100%)"</f>
        <v>( (ln 1 - ln 82 - ln 103 - ln 104) / ln 39 x 100%)</v>
      </c>
      <c r="F33" s="133"/>
      <c r="G33" s="133"/>
      <c r="H33" s="133"/>
      <c r="I33" s="365"/>
      <c r="J33" s="365"/>
      <c r="K33" s="365"/>
      <c r="L33" s="370">
        <f>IF(L79=0,0,(L11-L147-L172-L174)/L79)</f>
        <v>2.3214465098283472E-2</v>
      </c>
      <c r="M33" s="108"/>
      <c r="N33" s="369">
        <v>2.3188005327364595E-2</v>
      </c>
      <c r="O33" s="151"/>
      <c r="P33" s="369">
        <f t="shared" si="0"/>
        <v>-2.6459770918876857E-5</v>
      </c>
    </row>
    <row r="34" spans="2:16">
      <c r="B34" s="134"/>
      <c r="C34" s="114"/>
      <c r="D34" s="135"/>
      <c r="E34" s="125"/>
      <c r="F34" s="133"/>
      <c r="G34" s="133"/>
      <c r="H34" s="133"/>
      <c r="I34" s="365"/>
      <c r="J34" s="365"/>
      <c r="K34" s="365"/>
      <c r="L34" s="364"/>
      <c r="M34" s="108"/>
      <c r="N34" s="363"/>
      <c r="O34" s="151"/>
      <c r="P34" s="363" t="str">
        <f t="shared" si="0"/>
        <v/>
      </c>
    </row>
    <row r="35" spans="2:16">
      <c r="B35" s="134">
        <f>B33+1</f>
        <v>15</v>
      </c>
      <c r="C35" s="133"/>
      <c r="D35" s="368" t="s">
        <v>525</v>
      </c>
      <c r="E35" s="125"/>
      <c r="F35" s="133"/>
      <c r="G35" s="133"/>
      <c r="H35" s="133"/>
      <c r="I35" s="365"/>
      <c r="J35" s="365"/>
      <c r="K35" s="365"/>
      <c r="L35" s="367">
        <f>+'[4]OKT WS G BPU ATRR True-up'!P18</f>
        <v>0</v>
      </c>
      <c r="M35" s="108"/>
      <c r="N35" s="366">
        <v>0</v>
      </c>
      <c r="O35" s="151"/>
      <c r="P35" s="366">
        <f t="shared" si="0"/>
        <v>0</v>
      </c>
    </row>
    <row r="36" spans="2:16">
      <c r="B36" s="134"/>
      <c r="C36" s="133"/>
      <c r="D36" s="192"/>
      <c r="E36" s="125"/>
      <c r="F36" s="133"/>
      <c r="G36" s="133"/>
      <c r="H36" s="133"/>
      <c r="I36" s="365"/>
      <c r="J36" s="365"/>
      <c r="K36" s="365"/>
      <c r="L36" s="364"/>
      <c r="M36" s="108"/>
      <c r="N36" s="363"/>
      <c r="O36" s="151"/>
      <c r="P36" s="363" t="str">
        <f t="shared" si="0"/>
        <v/>
      </c>
    </row>
    <row r="37" spans="2:16">
      <c r="B37" s="104"/>
      <c r="C37" s="133"/>
      <c r="D37" s="192"/>
      <c r="E37" s="125"/>
      <c r="F37" s="133"/>
      <c r="G37" s="133"/>
      <c r="H37" s="133"/>
      <c r="I37" s="365"/>
      <c r="J37" s="365"/>
      <c r="K37" s="365"/>
      <c r="L37" s="364"/>
      <c r="M37" s="108"/>
      <c r="N37" s="363"/>
      <c r="O37" s="151"/>
      <c r="P37" s="363" t="str">
        <f t="shared" si="0"/>
        <v/>
      </c>
    </row>
    <row r="38" spans="2:16">
      <c r="B38" s="134"/>
      <c r="C38" s="133"/>
      <c r="D38" s="192"/>
      <c r="E38" s="125"/>
      <c r="F38" s="133"/>
      <c r="G38" s="133"/>
      <c r="H38" s="133"/>
      <c r="I38" s="365"/>
      <c r="J38" s="365"/>
      <c r="K38" s="365"/>
      <c r="L38" s="364"/>
      <c r="M38" s="108"/>
      <c r="N38" s="363"/>
      <c r="O38" s="151"/>
      <c r="P38" s="363" t="str">
        <f t="shared" si="0"/>
        <v/>
      </c>
    </row>
    <row r="39" spans="2:16">
      <c r="B39" s="134"/>
      <c r="C39" s="133"/>
      <c r="D39" s="192"/>
      <c r="E39" s="125"/>
      <c r="F39" s="133"/>
      <c r="G39" s="133"/>
      <c r="H39" s="133"/>
      <c r="I39" s="365"/>
      <c r="J39" s="365"/>
      <c r="K39" s="365"/>
      <c r="L39" s="364"/>
      <c r="M39" s="108"/>
      <c r="N39" s="363"/>
      <c r="O39" s="151"/>
      <c r="P39" s="363" t="str">
        <f t="shared" si="0"/>
        <v/>
      </c>
    </row>
    <row r="40" spans="2:16">
      <c r="B40" s="336"/>
      <c r="C40" s="192"/>
      <c r="D40" s="135"/>
      <c r="E40" s="135"/>
      <c r="G40" s="362"/>
      <c r="H40" s="135"/>
      <c r="I40" s="135"/>
      <c r="J40" s="135"/>
      <c r="K40" s="135"/>
      <c r="L40" s="135"/>
      <c r="M40" s="108"/>
      <c r="N40" s="245"/>
      <c r="O40" s="151"/>
      <c r="P40" s="245" t="str">
        <f t="shared" si="0"/>
        <v/>
      </c>
    </row>
    <row r="41" spans="2:16">
      <c r="B41" s="336"/>
      <c r="C41" s="192"/>
      <c r="D41" s="135"/>
      <c r="E41" s="135"/>
      <c r="F41" s="133"/>
      <c r="G41" s="362"/>
      <c r="H41" s="135"/>
      <c r="I41" s="135"/>
      <c r="J41" s="135"/>
      <c r="K41" s="135"/>
      <c r="L41" s="135"/>
      <c r="M41" s="108"/>
      <c r="N41" s="245"/>
      <c r="O41" s="151"/>
      <c r="P41" s="245" t="str">
        <f t="shared" si="0"/>
        <v/>
      </c>
    </row>
    <row r="42" spans="2:16">
      <c r="B42" s="336"/>
      <c r="C42" s="192"/>
      <c r="D42" s="135"/>
      <c r="E42" s="135"/>
      <c r="F42" s="133" t="str">
        <f>F3</f>
        <v xml:space="preserve">AEP West SPP Member Companies </v>
      </c>
      <c r="G42" s="362"/>
      <c r="H42" s="135"/>
      <c r="I42" s="135"/>
      <c r="J42" s="135"/>
      <c r="K42" s="135"/>
      <c r="L42" s="135"/>
      <c r="M42" s="108"/>
      <c r="N42" s="245"/>
      <c r="O42" s="151"/>
      <c r="P42" s="245" t="str">
        <f t="shared" si="0"/>
        <v/>
      </c>
    </row>
    <row r="43" spans="2:16">
      <c r="B43" s="336"/>
      <c r="C43" s="192"/>
      <c r="D43" s="135"/>
      <c r="E43" s="139"/>
      <c r="F43" s="133" t="str">
        <f>F4</f>
        <v>Transmission Cost of Service Formula Rate</v>
      </c>
      <c r="G43" s="139"/>
      <c r="H43" s="139"/>
      <c r="I43" s="139"/>
      <c r="J43" s="139"/>
      <c r="K43" s="139"/>
      <c r="L43" s="139"/>
      <c r="M43" s="108"/>
      <c r="N43" s="174"/>
      <c r="O43" s="151"/>
      <c r="P43" s="174" t="str">
        <f t="shared" si="0"/>
        <v/>
      </c>
    </row>
    <row r="44" spans="2:16">
      <c r="B44" s="336"/>
      <c r="C44" s="192"/>
      <c r="D44" s="135"/>
      <c r="E44" s="139"/>
      <c r="F44" s="204" t="str">
        <f>F5</f>
        <v>Utilizing Actual Cost Data for 2015 with Average Ratebase Balances</v>
      </c>
      <c r="G44" s="139"/>
      <c r="H44" s="139"/>
      <c r="I44" s="139"/>
      <c r="J44" s="139"/>
      <c r="K44" s="139"/>
      <c r="L44" s="139"/>
      <c r="M44" s="108"/>
      <c r="N44" s="174"/>
      <c r="O44" s="151"/>
      <c r="P44" s="174" t="str">
        <f t="shared" si="0"/>
        <v/>
      </c>
    </row>
    <row r="45" spans="2:16">
      <c r="B45" s="336"/>
      <c r="C45" s="192"/>
      <c r="D45" s="135"/>
      <c r="E45" s="139"/>
      <c r="F45" s="133"/>
      <c r="G45" s="139"/>
      <c r="H45" s="139"/>
      <c r="I45" s="139"/>
      <c r="J45" s="139"/>
      <c r="K45" s="139"/>
      <c r="L45" s="139"/>
      <c r="M45" s="108"/>
      <c r="N45" s="174"/>
      <c r="O45" s="151"/>
      <c r="P45" s="174" t="str">
        <f t="shared" si="0"/>
        <v/>
      </c>
    </row>
    <row r="46" spans="2:16">
      <c r="B46" s="336"/>
      <c r="C46" s="192"/>
      <c r="D46" s="135"/>
      <c r="E46" s="139"/>
      <c r="F46" s="133" t="str">
        <f>F7</f>
        <v>AEP OKLAHOMA TRANSMISSION COMPANY, INC</v>
      </c>
      <c r="G46" s="139"/>
      <c r="H46" s="139"/>
      <c r="I46" s="139"/>
      <c r="J46" s="139"/>
      <c r="K46" s="139"/>
      <c r="L46" s="139"/>
      <c r="M46" s="108"/>
      <c r="N46" s="174"/>
      <c r="O46" s="151"/>
      <c r="P46" s="174" t="str">
        <f t="shared" si="0"/>
        <v/>
      </c>
    </row>
    <row r="47" spans="2:16">
      <c r="B47" s="336"/>
      <c r="C47" s="192"/>
      <c r="D47" s="135"/>
      <c r="E47" s="204"/>
      <c r="F47" s="204"/>
      <c r="G47" s="204"/>
      <c r="H47" s="204"/>
      <c r="I47" s="204"/>
      <c r="J47" s="204"/>
      <c r="K47" s="204"/>
      <c r="L47" s="139"/>
      <c r="M47" s="108"/>
      <c r="N47" s="174"/>
      <c r="O47" s="151"/>
      <c r="P47" s="174" t="str">
        <f t="shared" si="0"/>
        <v/>
      </c>
    </row>
    <row r="48" spans="2:16">
      <c r="B48" s="336"/>
      <c r="C48" s="192"/>
      <c r="D48" s="133" t="s">
        <v>462</v>
      </c>
      <c r="E48" s="133" t="s">
        <v>461</v>
      </c>
      <c r="F48" s="133"/>
      <c r="G48" s="133" t="s">
        <v>460</v>
      </c>
      <c r="H48" s="139" t="s">
        <v>288</v>
      </c>
      <c r="I48" s="481" t="s">
        <v>459</v>
      </c>
      <c r="J48" s="482"/>
      <c r="K48" s="139"/>
      <c r="L48" s="335" t="s">
        <v>458</v>
      </c>
      <c r="M48" s="108"/>
      <c r="N48" s="334" t="s">
        <v>458</v>
      </c>
      <c r="O48" s="151"/>
      <c r="P48" s="334">
        <f t="shared" si="0"/>
        <v>0</v>
      </c>
    </row>
    <row r="49" spans="2:16">
      <c r="B49" s="104"/>
      <c r="C49" s="192"/>
      <c r="D49" s="108"/>
      <c r="E49" s="337"/>
      <c r="F49" s="108"/>
      <c r="G49" s="255"/>
      <c r="H49" s="139"/>
      <c r="I49" s="139"/>
      <c r="J49" s="333"/>
      <c r="K49" s="139"/>
      <c r="L49" s="192"/>
      <c r="M49" s="108"/>
      <c r="N49" s="242"/>
      <c r="O49" s="151"/>
      <c r="P49" s="242" t="str">
        <f t="shared" si="0"/>
        <v/>
      </c>
    </row>
    <row r="50" spans="2:16" ht="15.75">
      <c r="B50" s="332"/>
      <c r="C50" s="133"/>
      <c r="D50" s="108"/>
      <c r="E50" s="330" t="s">
        <v>524</v>
      </c>
      <c r="F50" s="331"/>
      <c r="G50" s="139"/>
      <c r="H50" s="139"/>
      <c r="I50" s="139"/>
      <c r="J50" s="133"/>
      <c r="K50" s="139"/>
      <c r="L50" s="361" t="s">
        <v>372</v>
      </c>
      <c r="M50" s="108"/>
      <c r="N50" s="360" t="s">
        <v>372</v>
      </c>
      <c r="O50" s="151"/>
      <c r="P50" s="360" t="s">
        <v>372</v>
      </c>
    </row>
    <row r="51" spans="2:16" ht="15.75">
      <c r="B51" s="104"/>
      <c r="C51" s="132"/>
      <c r="D51" s="322" t="s">
        <v>523</v>
      </c>
      <c r="E51" s="359" t="s">
        <v>522</v>
      </c>
      <c r="F51" s="139"/>
      <c r="G51" s="322" t="s">
        <v>521</v>
      </c>
      <c r="H51" s="191"/>
      <c r="I51" s="471" t="s">
        <v>520</v>
      </c>
      <c r="J51" s="472"/>
      <c r="K51" s="191"/>
      <c r="L51" s="322" t="s">
        <v>455</v>
      </c>
      <c r="M51" s="108"/>
      <c r="N51" s="321" t="s">
        <v>455</v>
      </c>
      <c r="O51" s="151"/>
      <c r="P51" s="321" t="s">
        <v>455</v>
      </c>
    </row>
    <row r="52" spans="2:16">
      <c r="B52" s="319" t="str">
        <f>B9</f>
        <v>Line</v>
      </c>
      <c r="C52" s="133"/>
      <c r="D52" s="135"/>
      <c r="E52" s="139"/>
      <c r="F52" s="139"/>
      <c r="G52" s="358" t="s">
        <v>519</v>
      </c>
      <c r="H52" s="139"/>
      <c r="I52" s="139"/>
      <c r="J52" s="139"/>
      <c r="K52" s="139"/>
      <c r="L52" s="139"/>
      <c r="M52" s="108"/>
      <c r="N52" s="174"/>
      <c r="O52" s="151"/>
      <c r="P52" s="174" t="str">
        <f t="shared" ref="P52:P83" si="1">IF(N52="","",N52-L52)</f>
        <v/>
      </c>
    </row>
    <row r="53" spans="2:16" ht="15.75" thickBot="1">
      <c r="B53" s="243" t="str">
        <f>B10</f>
        <v>No.</v>
      </c>
      <c r="C53" s="133"/>
      <c r="D53" s="135" t="s">
        <v>518</v>
      </c>
      <c r="E53" s="234"/>
      <c r="F53" s="234"/>
      <c r="G53" s="131"/>
      <c r="H53" s="131"/>
      <c r="I53" s="175"/>
      <c r="J53" s="131"/>
      <c r="K53" s="131"/>
      <c r="L53" s="131"/>
      <c r="M53" s="108"/>
      <c r="N53" s="174"/>
      <c r="O53" s="151"/>
      <c r="P53" s="174" t="str">
        <f t="shared" si="1"/>
        <v/>
      </c>
    </row>
    <row r="54" spans="2:16">
      <c r="B54" s="134">
        <f>+B35+1</f>
        <v>16</v>
      </c>
      <c r="C54" s="133"/>
      <c r="D54" s="217" t="s">
        <v>374</v>
      </c>
      <c r="E54" s="131"/>
      <c r="F54" s="131"/>
      <c r="G54" s="154"/>
      <c r="H54" s="154"/>
      <c r="I54" s="175"/>
      <c r="J54" s="214"/>
      <c r="K54" s="131"/>
      <c r="L54" s="154"/>
      <c r="M54" s="108"/>
      <c r="N54" s="209"/>
      <c r="O54" s="151"/>
      <c r="P54" s="209" t="str">
        <f t="shared" si="1"/>
        <v/>
      </c>
    </row>
    <row r="55" spans="2:16">
      <c r="B55" s="134">
        <f t="shared" ref="B55:B63" si="2">+B54+1</f>
        <v>17</v>
      </c>
      <c r="C55" s="133"/>
      <c r="D55" s="217" t="s">
        <v>374</v>
      </c>
      <c r="E55" s="131"/>
      <c r="F55" s="131"/>
      <c r="G55" s="154"/>
      <c r="H55" s="154"/>
      <c r="I55" s="175"/>
      <c r="J55" s="214"/>
      <c r="K55" s="131"/>
      <c r="L55" s="154"/>
      <c r="M55" s="108"/>
      <c r="N55" s="209"/>
      <c r="O55" s="151"/>
      <c r="P55" s="209" t="str">
        <f t="shared" si="1"/>
        <v/>
      </c>
    </row>
    <row r="56" spans="2:16">
      <c r="B56" s="134">
        <f t="shared" si="2"/>
        <v>18</v>
      </c>
      <c r="C56" s="338"/>
      <c r="D56" s="353" t="s">
        <v>378</v>
      </c>
      <c r="E56" s="352" t="str">
        <f>"(Worksheet A ln "&amp;'[4]OKT WS A RB Support '!A18&amp;".E &amp; Ln "&amp;B199&amp;")"</f>
        <v>(Worksheet A ln 3.E &amp; Ln 113)</v>
      </c>
      <c r="F56" s="351"/>
      <c r="G56" s="154">
        <f>+'[4]OKT WS A RB Support '!G18</f>
        <v>391892633</v>
      </c>
      <c r="H56" s="154"/>
      <c r="I56" s="311" t="s">
        <v>269</v>
      </c>
      <c r="J56" s="131"/>
      <c r="K56" s="310"/>
      <c r="L56" s="309">
        <f>+L199</f>
        <v>373937097.13</v>
      </c>
      <c r="M56" s="108"/>
      <c r="N56" s="308">
        <v>391892633</v>
      </c>
      <c r="O56" s="151"/>
      <c r="P56" s="308">
        <f t="shared" si="1"/>
        <v>17955535.870000005</v>
      </c>
    </row>
    <row r="57" spans="2:16">
      <c r="B57" s="134">
        <f t="shared" si="2"/>
        <v>19</v>
      </c>
      <c r="C57" s="338"/>
      <c r="D57" s="155" t="s">
        <v>506</v>
      </c>
      <c r="E57" s="131" t="s">
        <v>517</v>
      </c>
      <c r="F57" s="351"/>
      <c r="G57" s="154">
        <f>-+'[4]OKT WS A RB Support '!G20</f>
        <v>0</v>
      </c>
      <c r="H57" s="154"/>
      <c r="I57" s="311" t="s">
        <v>264</v>
      </c>
      <c r="J57" s="214">
        <f>VLOOKUP(I57,PSO_TU_Allocators,2,FALSE)</f>
        <v>0.95418251235664331</v>
      </c>
      <c r="K57" s="310"/>
      <c r="L57" s="309">
        <f>+G57*J57</f>
        <v>0</v>
      </c>
      <c r="M57" s="108"/>
      <c r="N57" s="308">
        <v>0</v>
      </c>
      <c r="O57" s="151"/>
      <c r="P57" s="308">
        <f t="shared" si="1"/>
        <v>0</v>
      </c>
    </row>
    <row r="58" spans="2:16">
      <c r="B58" s="134">
        <f t="shared" si="2"/>
        <v>20</v>
      </c>
      <c r="C58" s="338"/>
      <c r="D58" s="217" t="s">
        <v>374</v>
      </c>
      <c r="E58" s="131"/>
      <c r="F58" s="131"/>
      <c r="G58" s="154"/>
      <c r="H58" s="154"/>
      <c r="I58" s="175"/>
      <c r="J58" s="214"/>
      <c r="K58" s="131"/>
      <c r="L58" s="154"/>
      <c r="M58" s="108"/>
      <c r="N58" s="209"/>
      <c r="O58" s="151"/>
      <c r="P58" s="209" t="str">
        <f t="shared" si="1"/>
        <v/>
      </c>
    </row>
    <row r="59" spans="2:16">
      <c r="B59" s="134">
        <f t="shared" si="2"/>
        <v>21</v>
      </c>
      <c r="C59" s="338"/>
      <c r="D59" s="217" t="s">
        <v>374</v>
      </c>
      <c r="E59" s="131"/>
      <c r="F59" s="131"/>
      <c r="G59" s="154"/>
      <c r="H59" s="154"/>
      <c r="I59" s="175"/>
      <c r="J59" s="214"/>
      <c r="K59" s="131"/>
      <c r="L59" s="154"/>
      <c r="M59" s="108"/>
      <c r="N59" s="209"/>
      <c r="O59" s="151"/>
      <c r="P59" s="209" t="str">
        <f t="shared" si="1"/>
        <v/>
      </c>
    </row>
    <row r="60" spans="2:16">
      <c r="B60" s="134">
        <f t="shared" si="2"/>
        <v>22</v>
      </c>
      <c r="C60" s="338"/>
      <c r="D60" s="135" t="s">
        <v>516</v>
      </c>
      <c r="E60" s="131" t="s">
        <v>515</v>
      </c>
      <c r="F60" s="343"/>
      <c r="G60" s="154">
        <f>+'[4]OKT WS A RB Support '!G26</f>
        <v>0</v>
      </c>
      <c r="H60" s="154"/>
      <c r="I60" s="175" t="s">
        <v>262</v>
      </c>
      <c r="J60" s="214">
        <f>VLOOKUP(I60,PSO_TU_Allocators,2,FALSE)</f>
        <v>0.95418251235664331</v>
      </c>
      <c r="K60" s="131"/>
      <c r="L60" s="154">
        <f>+J60*G60</f>
        <v>0</v>
      </c>
      <c r="M60" s="108"/>
      <c r="N60" s="209">
        <v>0</v>
      </c>
      <c r="O60" s="151"/>
      <c r="P60" s="209">
        <f t="shared" si="1"/>
        <v>0</v>
      </c>
    </row>
    <row r="61" spans="2:16">
      <c r="B61" s="134">
        <f t="shared" si="2"/>
        <v>23</v>
      </c>
      <c r="C61" s="338"/>
      <c r="D61" s="205" t="s">
        <v>502</v>
      </c>
      <c r="E61" s="131" t="s">
        <v>514</v>
      </c>
      <c r="F61" s="343"/>
      <c r="G61" s="177">
        <f>-'[4]OKT WS A RB Support '!G28</f>
        <v>0</v>
      </c>
      <c r="H61" s="154"/>
      <c r="I61" s="175" t="s">
        <v>262</v>
      </c>
      <c r="J61" s="214">
        <f>VLOOKUP(I61,PSO_TU_Allocators,2,FALSE)</f>
        <v>0.95418251235664331</v>
      </c>
      <c r="K61" s="131"/>
      <c r="L61" s="154">
        <f>+G61*J61</f>
        <v>0</v>
      </c>
      <c r="M61" s="108"/>
      <c r="N61" s="209">
        <v>0</v>
      </c>
      <c r="O61" s="151"/>
      <c r="P61" s="209">
        <f t="shared" si="1"/>
        <v>0</v>
      </c>
    </row>
    <row r="62" spans="2:16" ht="15.75" thickBot="1">
      <c r="B62" s="134">
        <f t="shared" si="2"/>
        <v>24</v>
      </c>
      <c r="C62" s="338"/>
      <c r="D62" s="135" t="s">
        <v>513</v>
      </c>
      <c r="E62" s="131" t="s">
        <v>512</v>
      </c>
      <c r="F62" s="343"/>
      <c r="G62" s="163">
        <f>+'[4]OKT WS A RB Support '!G30</f>
        <v>2030618.5</v>
      </c>
      <c r="H62" s="154"/>
      <c r="I62" s="175" t="s">
        <v>262</v>
      </c>
      <c r="J62" s="214">
        <f>VLOOKUP(I62,PSO_TU_Allocators,2,FALSE)</f>
        <v>0.95418251235664331</v>
      </c>
      <c r="K62" s="131"/>
      <c r="L62" s="163">
        <f>+J62*G62</f>
        <v>1937580.6619678785</v>
      </c>
      <c r="M62" s="108"/>
      <c r="N62" s="211">
        <v>2030618.5</v>
      </c>
      <c r="O62" s="157"/>
      <c r="P62" s="211">
        <f t="shared" si="1"/>
        <v>93037.838032121537</v>
      </c>
    </row>
    <row r="63" spans="2:16" ht="15.75">
      <c r="B63" s="332">
        <f t="shared" si="2"/>
        <v>25</v>
      </c>
      <c r="C63" s="338"/>
      <c r="D63" s="135" t="s">
        <v>511</v>
      </c>
      <c r="E63" s="133" t="str">
        <f>"(sum lns "&amp;B54&amp;" to "&amp;B62&amp;")"</f>
        <v>(sum lns 16 to 24)</v>
      </c>
      <c r="F63" s="116"/>
      <c r="G63" s="154">
        <f>SUM(G54:G62)</f>
        <v>393923251.5</v>
      </c>
      <c r="H63" s="154"/>
      <c r="I63" s="356" t="s">
        <v>510</v>
      </c>
      <c r="J63" s="346">
        <f>IF(G63=0,0,L63/G63)</f>
        <v>0.95418251235664331</v>
      </c>
      <c r="K63" s="131"/>
      <c r="L63" s="154">
        <f>SUM(L54:L62)</f>
        <v>375874677.79196787</v>
      </c>
      <c r="M63" s="108"/>
      <c r="N63" s="209">
        <v>393923251.5</v>
      </c>
      <c r="O63" s="157"/>
      <c r="P63" s="209">
        <f t="shared" si="1"/>
        <v>18048573.708032131</v>
      </c>
    </row>
    <row r="64" spans="2:16" ht="15.75">
      <c r="B64" s="332"/>
      <c r="C64" s="133"/>
      <c r="D64" s="135"/>
      <c r="E64" s="357"/>
      <c r="F64" s="116"/>
      <c r="G64" s="154"/>
      <c r="H64" s="154"/>
      <c r="I64" s="356" t="s">
        <v>509</v>
      </c>
      <c r="J64" s="250">
        <f>+G56/(++G56+G58)</f>
        <v>1</v>
      </c>
      <c r="K64" s="131"/>
      <c r="L64" s="154"/>
      <c r="M64" s="108"/>
      <c r="N64" s="209"/>
      <c r="O64" s="157"/>
      <c r="P64" s="209" t="str">
        <f t="shared" si="1"/>
        <v/>
      </c>
    </row>
    <row r="65" spans="2:16">
      <c r="B65" s="134">
        <f>+B63+1</f>
        <v>26</v>
      </c>
      <c r="C65" s="133"/>
      <c r="D65" s="135" t="s">
        <v>508</v>
      </c>
      <c r="E65" s="234"/>
      <c r="F65" s="234"/>
      <c r="G65" s="154"/>
      <c r="H65" s="355"/>
      <c r="I65" s="175"/>
      <c r="J65" s="354"/>
      <c r="K65" s="131"/>
      <c r="L65" s="154"/>
      <c r="M65" s="108"/>
      <c r="N65" s="209"/>
      <c r="O65" s="269"/>
      <c r="P65" s="209" t="str">
        <f t="shared" si="1"/>
        <v/>
      </c>
    </row>
    <row r="66" spans="2:16">
      <c r="B66" s="134">
        <f t="shared" ref="B66:B75" si="3">+B65+1</f>
        <v>27</v>
      </c>
      <c r="C66" s="133"/>
      <c r="D66" s="217" t="s">
        <v>374</v>
      </c>
      <c r="E66" s="131"/>
      <c r="F66" s="131"/>
      <c r="G66" s="154"/>
      <c r="H66" s="154"/>
      <c r="I66" s="175"/>
      <c r="J66" s="214"/>
      <c r="K66" s="131"/>
      <c r="L66" s="154"/>
      <c r="M66" s="108"/>
      <c r="N66" s="209"/>
      <c r="O66" s="269"/>
      <c r="P66" s="209" t="str">
        <f t="shared" si="1"/>
        <v/>
      </c>
    </row>
    <row r="67" spans="2:16">
      <c r="B67" s="134">
        <f t="shared" si="3"/>
        <v>28</v>
      </c>
      <c r="C67" s="133"/>
      <c r="D67" s="217" t="s">
        <v>374</v>
      </c>
      <c r="E67" s="131"/>
      <c r="F67" s="131"/>
      <c r="G67" s="154"/>
      <c r="H67" s="154"/>
      <c r="I67" s="175"/>
      <c r="J67" s="214"/>
      <c r="K67" s="131"/>
      <c r="L67" s="154"/>
      <c r="M67" s="108"/>
      <c r="N67" s="209"/>
      <c r="O67" s="269"/>
      <c r="P67" s="209" t="str">
        <f t="shared" si="1"/>
        <v/>
      </c>
    </row>
    <row r="68" spans="2:16" ht="15.75">
      <c r="B68" s="134">
        <f t="shared" si="3"/>
        <v>29</v>
      </c>
      <c r="C68" s="338"/>
      <c r="D68" s="353" t="str">
        <f>D56</f>
        <v xml:space="preserve">  Transmission</v>
      </c>
      <c r="E68" s="352" t="s">
        <v>507</v>
      </c>
      <c r="F68" s="351"/>
      <c r="G68" s="309">
        <f>+'[4]OKT WS A RB Support '!G42</f>
        <v>12847165.879999999</v>
      </c>
      <c r="H68" s="154"/>
      <c r="I68" s="350" t="s">
        <v>504</v>
      </c>
      <c r="J68" s="313">
        <f>IF(G68=0,0,L68/G68)</f>
        <v>1</v>
      </c>
      <c r="K68" s="310"/>
      <c r="L68" s="154">
        <f>+'[4]OKT WS A RB Support '!G74</f>
        <v>12847165.879999999</v>
      </c>
      <c r="M68" s="108"/>
      <c r="N68" s="209">
        <v>13342706.5</v>
      </c>
      <c r="O68" s="269"/>
      <c r="P68" s="209">
        <f t="shared" si="1"/>
        <v>495540.62000000104</v>
      </c>
    </row>
    <row r="69" spans="2:16" ht="15.75">
      <c r="B69" s="134">
        <f t="shared" si="3"/>
        <v>30</v>
      </c>
      <c r="C69" s="338"/>
      <c r="D69" s="205" t="s">
        <v>506</v>
      </c>
      <c r="E69" s="131" t="s">
        <v>505</v>
      </c>
      <c r="F69" s="351"/>
      <c r="G69" s="177">
        <f>-'[4]OKT WS A RB Support '!G44</f>
        <v>0</v>
      </c>
      <c r="H69" s="154"/>
      <c r="I69" s="350" t="s">
        <v>504</v>
      </c>
      <c r="J69" s="214">
        <f>+J68</f>
        <v>1</v>
      </c>
      <c r="K69" s="310"/>
      <c r="L69" s="154">
        <f>+J69*G69</f>
        <v>0</v>
      </c>
      <c r="M69" s="108"/>
      <c r="N69" s="209">
        <v>0</v>
      </c>
      <c r="O69" s="269"/>
      <c r="P69" s="209">
        <f t="shared" si="1"/>
        <v>0</v>
      </c>
    </row>
    <row r="70" spans="2:16">
      <c r="B70" s="134">
        <f t="shared" si="3"/>
        <v>31</v>
      </c>
      <c r="C70" s="338"/>
      <c r="D70" s="217" t="s">
        <v>374</v>
      </c>
      <c r="E70" s="131"/>
      <c r="F70" s="131"/>
      <c r="G70" s="154"/>
      <c r="H70" s="154"/>
      <c r="I70" s="175"/>
      <c r="J70" s="214"/>
      <c r="K70" s="131"/>
      <c r="L70" s="154"/>
      <c r="M70" s="108"/>
      <c r="N70" s="209"/>
      <c r="O70" s="269"/>
      <c r="P70" s="209" t="str">
        <f t="shared" si="1"/>
        <v/>
      </c>
    </row>
    <row r="71" spans="2:16">
      <c r="B71" s="134">
        <f t="shared" si="3"/>
        <v>32</v>
      </c>
      <c r="C71" s="338"/>
      <c r="D71" s="217" t="s">
        <v>374</v>
      </c>
      <c r="E71" s="131"/>
      <c r="F71" s="131"/>
      <c r="G71" s="154"/>
      <c r="H71" s="154"/>
      <c r="I71" s="175"/>
      <c r="J71" s="214"/>
      <c r="K71" s="131"/>
      <c r="L71" s="154"/>
      <c r="M71" s="108"/>
      <c r="N71" s="209"/>
      <c r="O71" s="269"/>
      <c r="P71" s="209" t="str">
        <f t="shared" si="1"/>
        <v/>
      </c>
    </row>
    <row r="72" spans="2:16">
      <c r="B72" s="134">
        <f t="shared" si="3"/>
        <v>33</v>
      </c>
      <c r="C72" s="341"/>
      <c r="D72" s="119" t="str">
        <f>+D60</f>
        <v xml:space="preserve">  General Plant   </v>
      </c>
      <c r="E72" s="131" t="s">
        <v>503</v>
      </c>
      <c r="F72" s="343"/>
      <c r="G72" s="237">
        <f>+'[4]OKT WS A RB Support '!G50</f>
        <v>0</v>
      </c>
      <c r="H72" s="154"/>
      <c r="I72" s="175" t="s">
        <v>262</v>
      </c>
      <c r="J72" s="214">
        <f>VLOOKUP(I72,PSO_TU_Allocators,2,FALSE)</f>
        <v>0.95418251235664331</v>
      </c>
      <c r="K72" s="131"/>
      <c r="L72" s="154">
        <f>+J72*G72</f>
        <v>0</v>
      </c>
      <c r="M72" s="108"/>
      <c r="N72" s="209">
        <v>0</v>
      </c>
      <c r="O72" s="269"/>
      <c r="P72" s="209">
        <f t="shared" si="1"/>
        <v>0</v>
      </c>
    </row>
    <row r="73" spans="2:16">
      <c r="B73" s="134">
        <f t="shared" si="3"/>
        <v>34</v>
      </c>
      <c r="C73" s="341"/>
      <c r="D73" s="205" t="s">
        <v>502</v>
      </c>
      <c r="E73" s="131" t="s">
        <v>501</v>
      </c>
      <c r="F73" s="343"/>
      <c r="G73" s="177">
        <f>-'[4]OKT WS A RB Support '!G52</f>
        <v>0</v>
      </c>
      <c r="H73" s="154"/>
      <c r="I73" s="175" t="s">
        <v>262</v>
      </c>
      <c r="J73" s="214">
        <f>VLOOKUP(I73,PSO_TU_Allocators,2,FALSE)</f>
        <v>0.95418251235664331</v>
      </c>
      <c r="K73" s="131"/>
      <c r="L73" s="154">
        <f>+J73*G73</f>
        <v>0</v>
      </c>
      <c r="M73" s="108"/>
      <c r="N73" s="209">
        <v>0</v>
      </c>
      <c r="O73" s="269"/>
      <c r="P73" s="209">
        <f t="shared" si="1"/>
        <v>0</v>
      </c>
    </row>
    <row r="74" spans="2:16" ht="15.75" thickBot="1">
      <c r="B74" s="134">
        <f t="shared" si="3"/>
        <v>35</v>
      </c>
      <c r="C74" s="341"/>
      <c r="D74" s="119" t="str">
        <f>+D62</f>
        <v xml:space="preserve">  Intangible Plant</v>
      </c>
      <c r="E74" s="131" t="s">
        <v>500</v>
      </c>
      <c r="F74" s="343"/>
      <c r="G74" s="163">
        <f>+'[4]OKT WS A RB Support '!G54</f>
        <v>567580.5</v>
      </c>
      <c r="H74" s="154"/>
      <c r="I74" s="175" t="s">
        <v>262</v>
      </c>
      <c r="J74" s="214">
        <f>VLOOKUP(I74,PSO_TU_Allocators,2,FALSE)</f>
        <v>0.95418251235664331</v>
      </c>
      <c r="K74" s="131"/>
      <c r="L74" s="163">
        <f>+J74*G74</f>
        <v>541575.38745463977</v>
      </c>
      <c r="M74" s="108"/>
      <c r="N74" s="211">
        <v>567580.5</v>
      </c>
      <c r="O74" s="269"/>
      <c r="P74" s="211">
        <f t="shared" si="1"/>
        <v>26005.112545360229</v>
      </c>
    </row>
    <row r="75" spans="2:16">
      <c r="B75" s="134">
        <f t="shared" si="3"/>
        <v>36</v>
      </c>
      <c r="C75" s="341"/>
      <c r="D75" s="119" t="s">
        <v>499</v>
      </c>
      <c r="E75" s="349" t="str">
        <f>"(sum lns "&amp;B66&amp;" to "&amp;B74&amp;")"</f>
        <v>(sum lns 27 to 35)</v>
      </c>
      <c r="F75" s="347"/>
      <c r="G75" s="154">
        <f>SUM(G66:G74)</f>
        <v>13414746.379999999</v>
      </c>
      <c r="H75" s="154"/>
      <c r="I75" s="175"/>
      <c r="J75" s="131"/>
      <c r="K75" s="154"/>
      <c r="L75" s="154">
        <f>SUM(L66:L74)</f>
        <v>13388741.267454639</v>
      </c>
      <c r="M75" s="108"/>
      <c r="N75" s="209">
        <v>13910287</v>
      </c>
      <c r="O75" s="269"/>
      <c r="P75" s="209">
        <f t="shared" si="1"/>
        <v>521545.73254536092</v>
      </c>
    </row>
    <row r="76" spans="2:16">
      <c r="B76" s="134"/>
      <c r="C76" s="133"/>
      <c r="D76" s="192"/>
      <c r="E76" s="348"/>
      <c r="F76" s="347"/>
      <c r="G76" s="154"/>
      <c r="H76" s="154"/>
      <c r="I76" s="175"/>
      <c r="J76" s="344"/>
      <c r="K76" s="131"/>
      <c r="L76" s="154"/>
      <c r="M76" s="108"/>
      <c r="N76" s="209"/>
      <c r="O76" s="269"/>
      <c r="P76" s="209" t="str">
        <f t="shared" si="1"/>
        <v/>
      </c>
    </row>
    <row r="77" spans="2:16">
      <c r="B77" s="134">
        <f>+B75+1</f>
        <v>37</v>
      </c>
      <c r="C77" s="133"/>
      <c r="D77" s="135" t="s">
        <v>498</v>
      </c>
      <c r="E77" s="234"/>
      <c r="F77" s="234"/>
      <c r="G77" s="154"/>
      <c r="H77" s="154"/>
      <c r="I77" s="175"/>
      <c r="J77" s="131"/>
      <c r="K77" s="131"/>
      <c r="L77" s="154"/>
      <c r="M77" s="108"/>
      <c r="N77" s="209"/>
      <c r="O77" s="269"/>
      <c r="P77" s="209" t="str">
        <f t="shared" si="1"/>
        <v/>
      </c>
    </row>
    <row r="78" spans="2:16">
      <c r="B78" s="332">
        <f t="shared" ref="B78:B83" si="4">+B77+1</f>
        <v>38</v>
      </c>
      <c r="C78" s="338"/>
      <c r="D78" s="217" t="s">
        <v>374</v>
      </c>
      <c r="E78" s="131"/>
      <c r="F78" s="131"/>
      <c r="G78" s="154"/>
      <c r="H78" s="154"/>
      <c r="I78" s="175"/>
      <c r="J78" s="214"/>
      <c r="K78" s="131"/>
      <c r="L78" s="154"/>
      <c r="M78" s="108"/>
      <c r="N78" s="209"/>
      <c r="O78" s="269"/>
      <c r="P78" s="209" t="str">
        <f t="shared" si="1"/>
        <v/>
      </c>
    </row>
    <row r="79" spans="2:16">
      <c r="B79" s="332">
        <f t="shared" si="4"/>
        <v>39</v>
      </c>
      <c r="C79" s="338"/>
      <c r="D79" s="205" t="str">
        <f>+D68</f>
        <v xml:space="preserve">  Transmission</v>
      </c>
      <c r="E79" s="131" t="str">
        <f>" (ln "&amp;B56&amp;" + ln "&amp;B57&amp;" - ln "&amp;B68&amp;" - ln "&amp;B69&amp;")"</f>
        <v xml:space="preserve"> (ln 18 + ln 19 - ln 29 - ln 30)</v>
      </c>
      <c r="F79" s="343"/>
      <c r="G79" s="154">
        <f>+G56+G57-G68-G69</f>
        <v>379045467.12</v>
      </c>
      <c r="H79" s="154"/>
      <c r="I79" s="175"/>
      <c r="J79" s="313"/>
      <c r="K79" s="131"/>
      <c r="L79" s="154">
        <f>+L56+L57-L68-L69</f>
        <v>361089931.25</v>
      </c>
      <c r="M79" s="108"/>
      <c r="N79" s="209">
        <v>378549926.5</v>
      </c>
      <c r="O79" s="269"/>
      <c r="P79" s="209">
        <f t="shared" si="1"/>
        <v>17459995.25</v>
      </c>
    </row>
    <row r="80" spans="2:16">
      <c r="B80" s="332">
        <f t="shared" si="4"/>
        <v>40</v>
      </c>
      <c r="C80" s="338"/>
      <c r="D80" s="217" t="s">
        <v>374</v>
      </c>
      <c r="E80" s="131"/>
      <c r="F80" s="131"/>
      <c r="G80" s="154"/>
      <c r="H80" s="154"/>
      <c r="I80" s="175"/>
      <c r="J80" s="214"/>
      <c r="K80" s="131"/>
      <c r="L80" s="154"/>
      <c r="M80" s="108"/>
      <c r="N80" s="209"/>
      <c r="O80" s="269"/>
      <c r="P80" s="209" t="str">
        <f t="shared" si="1"/>
        <v/>
      </c>
    </row>
    <row r="81" spans="2:16">
      <c r="B81" s="332">
        <f t="shared" si="4"/>
        <v>41</v>
      </c>
      <c r="C81" s="338"/>
      <c r="D81" s="205" t="str">
        <f>+D72</f>
        <v xml:space="preserve">  General Plant   </v>
      </c>
      <c r="E81" s="131" t="str">
        <f>" (ln "&amp;B60&amp;" + ln "&amp;B61&amp;" - ln "&amp;B72&amp;" - ln "&amp;B73&amp;")"</f>
        <v xml:space="preserve"> (ln 22 + ln 23 - ln 33 - ln 34)</v>
      </c>
      <c r="F81" s="131"/>
      <c r="G81" s="154">
        <f>+G60+G61-G72-G73</f>
        <v>0</v>
      </c>
      <c r="H81" s="154"/>
      <c r="I81" s="175"/>
      <c r="J81" s="344"/>
      <c r="K81" s="131"/>
      <c r="L81" s="154">
        <f>+L60+L61-L72-L73</f>
        <v>0</v>
      </c>
      <c r="M81" s="108"/>
      <c r="N81" s="209">
        <v>0</v>
      </c>
      <c r="O81" s="269"/>
      <c r="P81" s="209">
        <f t="shared" si="1"/>
        <v>0</v>
      </c>
    </row>
    <row r="82" spans="2:16" ht="15.75" thickBot="1">
      <c r="B82" s="332">
        <f t="shared" si="4"/>
        <v>42</v>
      </c>
      <c r="C82" s="338"/>
      <c r="D82" s="205" t="str">
        <f>+D74</f>
        <v xml:space="preserve">  Intangible Plant</v>
      </c>
      <c r="E82" s="131" t="str">
        <f>" (ln "&amp;B62&amp;" - ln "&amp;B74&amp;")"</f>
        <v xml:space="preserve"> (ln 24 - ln 35)</v>
      </c>
      <c r="F82" s="131"/>
      <c r="G82" s="163">
        <f>+G62-G74</f>
        <v>1463038</v>
      </c>
      <c r="H82" s="154"/>
      <c r="I82" s="175"/>
      <c r="J82" s="344"/>
      <c r="K82" s="131"/>
      <c r="L82" s="163">
        <f>+L62-L74</f>
        <v>1396005.2745132386</v>
      </c>
      <c r="M82" s="108"/>
      <c r="N82" s="211">
        <v>1463038</v>
      </c>
      <c r="O82" s="269"/>
      <c r="P82" s="211">
        <f t="shared" si="1"/>
        <v>67032.725486761425</v>
      </c>
    </row>
    <row r="83" spans="2:16" ht="15.75">
      <c r="B83" s="332">
        <f t="shared" si="4"/>
        <v>43</v>
      </c>
      <c r="C83" s="338"/>
      <c r="D83" s="205" t="s">
        <v>497</v>
      </c>
      <c r="E83" s="205" t="str">
        <f>"(sum lns "&amp;B78&amp;" to "&amp;B82&amp;")"</f>
        <v>(sum lns 38 to 42)</v>
      </c>
      <c r="F83" s="131"/>
      <c r="G83" s="154">
        <f>SUM(G78:G82)</f>
        <v>380508505.12</v>
      </c>
      <c r="H83" s="154"/>
      <c r="I83" s="153" t="s">
        <v>496</v>
      </c>
      <c r="J83" s="346">
        <f>IF(G83=0,0,L83/G83)</f>
        <v>0.95263556963121487</v>
      </c>
      <c r="K83" s="131"/>
      <c r="L83" s="154">
        <f>SUM(L79:L82)</f>
        <v>362485936.52451324</v>
      </c>
      <c r="M83" s="108"/>
      <c r="N83" s="209">
        <v>380012964.5</v>
      </c>
      <c r="O83" s="269"/>
      <c r="P83" s="209">
        <f t="shared" si="1"/>
        <v>17527027.975486755</v>
      </c>
    </row>
    <row r="84" spans="2:16">
      <c r="B84" s="134"/>
      <c r="C84" s="133"/>
      <c r="D84" s="135"/>
      <c r="E84" s="131"/>
      <c r="F84" s="131"/>
      <c r="G84" s="154"/>
      <c r="H84" s="154"/>
      <c r="I84" s="120"/>
      <c r="J84" s="126"/>
      <c r="K84" s="131"/>
      <c r="L84" s="154"/>
      <c r="M84" s="108"/>
      <c r="N84" s="209"/>
      <c r="O84" s="269"/>
      <c r="P84" s="209" t="str">
        <f t="shared" ref="P84:P115" si="5">IF(N84="","",N84-L84)</f>
        <v/>
      </c>
    </row>
    <row r="85" spans="2:16">
      <c r="B85" s="134"/>
      <c r="C85" s="133"/>
      <c r="D85" s="192"/>
      <c r="G85" s="108"/>
      <c r="H85" s="108"/>
      <c r="I85" s="108"/>
      <c r="J85" s="108"/>
      <c r="K85" s="108"/>
      <c r="L85" s="108"/>
      <c r="M85" s="108"/>
      <c r="N85" s="317"/>
      <c r="O85" s="269"/>
      <c r="P85" s="317" t="str">
        <f t="shared" si="5"/>
        <v/>
      </c>
    </row>
    <row r="86" spans="2:16">
      <c r="B86" s="134">
        <f>+B83+1</f>
        <v>44</v>
      </c>
      <c r="C86" s="133"/>
      <c r="D86" s="135" t="s">
        <v>495</v>
      </c>
      <c r="E86" s="131" t="s">
        <v>494</v>
      </c>
      <c r="F86" s="175"/>
      <c r="G86" s="108"/>
      <c r="H86" s="108"/>
      <c r="I86" s="108"/>
      <c r="J86" s="108"/>
      <c r="K86" s="108"/>
      <c r="L86" s="108"/>
      <c r="M86" s="108"/>
      <c r="N86" s="317"/>
      <c r="O86" s="269"/>
      <c r="P86" s="317" t="str">
        <f t="shared" si="5"/>
        <v/>
      </c>
    </row>
    <row r="87" spans="2:16">
      <c r="B87" s="332">
        <f t="shared" ref="B87:B92" si="6">+B86+1</f>
        <v>45</v>
      </c>
      <c r="C87" s="338"/>
      <c r="D87" s="155" t="s">
        <v>493</v>
      </c>
      <c r="E87" s="131" t="s">
        <v>492</v>
      </c>
      <c r="F87" s="131"/>
      <c r="G87" s="154">
        <f>+'[4]OKT Historic TCOS'!G97</f>
        <v>0</v>
      </c>
      <c r="H87" s="154"/>
      <c r="I87" s="175" t="s">
        <v>266</v>
      </c>
      <c r="J87" s="214"/>
      <c r="K87" s="131"/>
      <c r="L87" s="154">
        <v>0</v>
      </c>
      <c r="M87" s="108"/>
      <c r="N87" s="209">
        <v>0</v>
      </c>
      <c r="O87" s="269"/>
      <c r="P87" s="209">
        <f t="shared" si="5"/>
        <v>0</v>
      </c>
    </row>
    <row r="88" spans="2:16">
      <c r="B88" s="332">
        <f t="shared" si="6"/>
        <v>46</v>
      </c>
      <c r="C88" s="338"/>
      <c r="D88" s="155" t="s">
        <v>491</v>
      </c>
      <c r="E88" s="131" t="s">
        <v>490</v>
      </c>
      <c r="F88" s="343"/>
      <c r="G88" s="154">
        <f>+'[4]OKT WS C RB Tax'!D27</f>
        <v>-74439935.229999989</v>
      </c>
      <c r="H88" s="154"/>
      <c r="I88" s="175" t="s">
        <v>269</v>
      </c>
      <c r="J88" s="214"/>
      <c r="K88" s="131"/>
      <c r="L88" s="154">
        <f>+'[4]OKT WS C RB Tax'!J29</f>
        <v>-70911362.828065619</v>
      </c>
      <c r="M88" s="108"/>
      <c r="N88" s="209">
        <v>-74437281.179999992</v>
      </c>
      <c r="O88" s="269"/>
      <c r="P88" s="209">
        <f t="shared" si="5"/>
        <v>-3525918.3519343734</v>
      </c>
    </row>
    <row r="89" spans="2:16">
      <c r="B89" s="332">
        <f t="shared" si="6"/>
        <v>47</v>
      </c>
      <c r="C89" s="338"/>
      <c r="D89" s="155" t="s">
        <v>489</v>
      </c>
      <c r="E89" s="131" t="s">
        <v>488</v>
      </c>
      <c r="F89" s="343"/>
      <c r="G89" s="154">
        <f>+'[4]OKT WS C RB Tax'!D44</f>
        <v>-16954186.309999999</v>
      </c>
      <c r="H89" s="154"/>
      <c r="I89" s="175" t="s">
        <v>269</v>
      </c>
      <c r="J89" s="214"/>
      <c r="K89" s="131"/>
      <c r="L89" s="154">
        <f>+'[4]OKT WS C RB Tax'!J46</f>
        <v>-13499346.01</v>
      </c>
      <c r="M89" s="108"/>
      <c r="N89" s="209">
        <v>-13499346.01</v>
      </c>
      <c r="O89" s="269"/>
      <c r="P89" s="209">
        <f t="shared" si="5"/>
        <v>0</v>
      </c>
    </row>
    <row r="90" spans="2:16">
      <c r="B90" s="332">
        <f t="shared" si="6"/>
        <v>48</v>
      </c>
      <c r="C90" s="338"/>
      <c r="D90" s="155" t="s">
        <v>487</v>
      </c>
      <c r="E90" s="131" t="s">
        <v>486</v>
      </c>
      <c r="F90" s="343"/>
      <c r="G90" s="154">
        <f>+'[4]OKT WS C RB Tax'!D62</f>
        <v>14615685.864999998</v>
      </c>
      <c r="H90" s="154"/>
      <c r="I90" s="175" t="s">
        <v>269</v>
      </c>
      <c r="J90" s="214"/>
      <c r="K90" s="131"/>
      <c r="L90" s="154">
        <f>+'[4]OKT WS C RB Tax'!J64</f>
        <v>4724771.0999999996</v>
      </c>
      <c r="M90" s="108"/>
      <c r="N90" s="209">
        <v>4724771.0999999996</v>
      </c>
      <c r="O90" s="269"/>
      <c r="P90" s="209">
        <f t="shared" si="5"/>
        <v>0</v>
      </c>
    </row>
    <row r="91" spans="2:16" ht="15.75" thickBot="1">
      <c r="B91" s="332">
        <f t="shared" si="6"/>
        <v>49</v>
      </c>
      <c r="C91" s="338"/>
      <c r="D91" s="276" t="s">
        <v>485</v>
      </c>
      <c r="E91" s="131" t="s">
        <v>484</v>
      </c>
      <c r="F91" s="345"/>
      <c r="G91" s="163">
        <f>+'[4]OKT WS C RB Tax'!D79</f>
        <v>0</v>
      </c>
      <c r="H91" s="154"/>
      <c r="I91" s="175" t="s">
        <v>269</v>
      </c>
      <c r="J91" s="214"/>
      <c r="K91" s="131"/>
      <c r="L91" s="163">
        <f>+'[4]OKT WS C RB Tax'!J81</f>
        <v>0</v>
      </c>
      <c r="M91" s="108"/>
      <c r="N91" s="211">
        <v>0</v>
      </c>
      <c r="O91" s="269"/>
      <c r="P91" s="211">
        <f t="shared" si="5"/>
        <v>0</v>
      </c>
    </row>
    <row r="92" spans="2:16">
      <c r="B92" s="332">
        <f t="shared" si="6"/>
        <v>50</v>
      </c>
      <c r="C92" s="338"/>
      <c r="D92" s="205" t="s">
        <v>483</v>
      </c>
      <c r="E92" s="205" t="str">
        <f>"(sum lns "&amp;B87&amp;" to "&amp;B91&amp;")"</f>
        <v>(sum lns 45 to 49)</v>
      </c>
      <c r="F92" s="131"/>
      <c r="G92" s="154">
        <f>SUM(G87:G91)</f>
        <v>-76778435.674999997</v>
      </c>
      <c r="H92" s="143"/>
      <c r="I92" s="175"/>
      <c r="J92" s="166"/>
      <c r="K92" s="131"/>
      <c r="L92" s="154">
        <f>SUM(L87:L91)</f>
        <v>-79685937.73806563</v>
      </c>
      <c r="M92" s="108"/>
      <c r="N92" s="209">
        <v>-83211856.090000004</v>
      </c>
      <c r="O92" s="151"/>
      <c r="P92" s="209">
        <f t="shared" si="5"/>
        <v>-3525918.3519343734</v>
      </c>
    </row>
    <row r="93" spans="2:16">
      <c r="B93" s="134"/>
      <c r="C93" s="133"/>
      <c r="D93" s="205"/>
      <c r="E93" s="131"/>
      <c r="F93" s="131"/>
      <c r="G93" s="154"/>
      <c r="H93" s="143"/>
      <c r="I93" s="175"/>
      <c r="J93" s="344"/>
      <c r="K93" s="131"/>
      <c r="L93" s="154"/>
      <c r="M93" s="108"/>
      <c r="N93" s="209"/>
      <c r="O93" s="151"/>
      <c r="P93" s="209" t="str">
        <f t="shared" si="5"/>
        <v/>
      </c>
    </row>
    <row r="94" spans="2:16">
      <c r="B94" s="134">
        <f>+B92+1</f>
        <v>51</v>
      </c>
      <c r="C94" s="133"/>
      <c r="D94" s="205" t="s">
        <v>482</v>
      </c>
      <c r="E94" s="131" t="s">
        <v>481</v>
      </c>
      <c r="F94" s="131"/>
      <c r="G94" s="154">
        <f>+'[4]OKT WS A RB Support '!G78</f>
        <v>0</v>
      </c>
      <c r="H94" s="143"/>
      <c r="I94" s="175" t="s">
        <v>269</v>
      </c>
      <c r="J94" s="214"/>
      <c r="K94" s="131"/>
      <c r="L94" s="154">
        <f>+'[4]OKT WS A RB Support '!G80</f>
        <v>0</v>
      </c>
      <c r="M94" s="108"/>
      <c r="N94" s="209">
        <v>0</v>
      </c>
      <c r="O94" s="151"/>
      <c r="P94" s="209">
        <f t="shared" si="5"/>
        <v>0</v>
      </c>
    </row>
    <row r="95" spans="2:16">
      <c r="B95" s="134"/>
      <c r="C95" s="133"/>
      <c r="D95" s="205"/>
      <c r="E95" s="131"/>
      <c r="F95" s="131"/>
      <c r="G95" s="154"/>
      <c r="H95" s="143"/>
      <c r="I95" s="175"/>
      <c r="J95" s="214"/>
      <c r="K95" s="131"/>
      <c r="L95" s="154"/>
      <c r="M95" s="108"/>
      <c r="N95" s="209"/>
      <c r="O95" s="151"/>
      <c r="P95" s="209" t="str">
        <f t="shared" si="5"/>
        <v/>
      </c>
    </row>
    <row r="96" spans="2:16" s="105" customFormat="1">
      <c r="B96" s="115" t="s">
        <v>480</v>
      </c>
      <c r="C96" s="114"/>
      <c r="D96" s="155" t="s">
        <v>479</v>
      </c>
      <c r="E96" s="131" t="str">
        <f>"(Worksheet A ln "&amp;'[4]OKT WS A RB Support '!A96&amp;". "&amp;'[4]OKT WS A RB Support '!G6&amp;")"</f>
        <v>(Worksheet A ln NOTE 1 . (E))</v>
      </c>
      <c r="F96" s="131"/>
      <c r="G96" s="154">
        <f>'[4]OKT WS A RB Support '!G96</f>
        <v>0</v>
      </c>
      <c r="H96" s="304"/>
      <c r="I96" s="175" t="s">
        <v>269</v>
      </c>
      <c r="J96" s="214"/>
      <c r="K96" s="131"/>
      <c r="L96" s="154">
        <f>+G96</f>
        <v>0</v>
      </c>
      <c r="M96" s="304"/>
      <c r="N96" s="209">
        <v>0</v>
      </c>
      <c r="O96" s="151"/>
      <c r="P96" s="209">
        <f t="shared" si="5"/>
        <v>0</v>
      </c>
    </row>
    <row r="97" spans="1:16">
      <c r="B97" s="134"/>
      <c r="C97" s="133"/>
      <c r="D97" s="205"/>
      <c r="E97" s="131"/>
      <c r="F97" s="131"/>
      <c r="G97" s="154"/>
      <c r="H97" s="143"/>
      <c r="I97" s="175"/>
      <c r="J97" s="214"/>
      <c r="K97" s="131"/>
      <c r="L97" s="154"/>
      <c r="M97" s="108"/>
      <c r="N97" s="209"/>
      <c r="O97" s="151"/>
      <c r="P97" s="209" t="str">
        <f t="shared" si="5"/>
        <v/>
      </c>
    </row>
    <row r="98" spans="1:16">
      <c r="B98" s="134">
        <f>+B94+1</f>
        <v>52</v>
      </c>
      <c r="C98" s="133"/>
      <c r="D98" s="205" t="s">
        <v>478</v>
      </c>
      <c r="E98" s="131" t="s">
        <v>477</v>
      </c>
      <c r="F98" s="131"/>
      <c r="G98" s="154"/>
      <c r="H98" s="143"/>
      <c r="I98" s="175"/>
      <c r="J98" s="131"/>
      <c r="K98" s="131"/>
      <c r="L98" s="154"/>
      <c r="M98" s="108"/>
      <c r="N98" s="209"/>
      <c r="O98" s="151"/>
      <c r="P98" s="209" t="str">
        <f t="shared" si="5"/>
        <v/>
      </c>
    </row>
    <row r="99" spans="1:16">
      <c r="B99" s="332">
        <f t="shared" ref="B99:B107" si="7">+B98+1</f>
        <v>53</v>
      </c>
      <c r="C99" s="338"/>
      <c r="D99" s="205" t="s">
        <v>476</v>
      </c>
      <c r="E99" s="120" t="str">
        <f>"(1/8 * ln "&amp;B130&amp;") (Note G)"</f>
        <v>(1/8 * ln 68) (Note G)</v>
      </c>
      <c r="F99" s="120"/>
      <c r="G99" s="154">
        <f>+G130/8</f>
        <v>314584.375</v>
      </c>
      <c r="H99" s="131"/>
      <c r="I99" s="175"/>
      <c r="J99" s="344"/>
      <c r="K99" s="131"/>
      <c r="L99" s="154">
        <f>+L130/8</f>
        <v>300170.90928564442</v>
      </c>
      <c r="M99" s="108"/>
      <c r="N99" s="209">
        <v>314584.375</v>
      </c>
      <c r="O99" s="151"/>
      <c r="P99" s="209">
        <f t="shared" si="5"/>
        <v>14413.465714355581</v>
      </c>
    </row>
    <row r="100" spans="1:16">
      <c r="B100" s="342">
        <f t="shared" si="7"/>
        <v>54</v>
      </c>
      <c r="C100" s="341"/>
      <c r="D100" s="205" t="s">
        <v>475</v>
      </c>
      <c r="E100" s="131" t="str">
        <f>"(Worksheet D, ln "&amp;'[4]OKT WS D Working Capital'!A15&amp;"."&amp;'[4]OKT WS D Working Capital'!I$6&amp;")"</f>
        <v>(Worksheet D, ln 2.(F))</v>
      </c>
      <c r="F100" s="343"/>
      <c r="G100" s="154">
        <f>+'[4]OKT WS D Working Capital'!I15</f>
        <v>0</v>
      </c>
      <c r="H100" s="108"/>
      <c r="I100" s="204" t="s">
        <v>264</v>
      </c>
      <c r="J100" s="214">
        <f t="shared" ref="J100:J106" si="8">VLOOKUP(I100,PSO_TU_Allocators,2,FALSE)</f>
        <v>0.95418251235664331</v>
      </c>
      <c r="K100" s="139"/>
      <c r="L100" s="210">
        <f>+J100*G100</f>
        <v>0</v>
      </c>
      <c r="M100" s="108"/>
      <c r="N100" s="209">
        <v>0</v>
      </c>
      <c r="O100" s="151"/>
      <c r="P100" s="209">
        <f t="shared" si="5"/>
        <v>0</v>
      </c>
    </row>
    <row r="101" spans="1:16">
      <c r="B101" s="342">
        <f t="shared" si="7"/>
        <v>55</v>
      </c>
      <c r="C101" s="341"/>
      <c r="D101" s="205" t="s">
        <v>474</v>
      </c>
      <c r="E101" s="131" t="str">
        <f>"(Worksheet D, ln "&amp;'[4]OKT WS D Working Capital'!A17&amp;"."&amp;'[4]OKT WS D Working Capital'!I$6&amp;")"</f>
        <v>(Worksheet D, ln 3.(F))</v>
      </c>
      <c r="F101" s="343"/>
      <c r="G101" s="154">
        <f>+'[4]OKT WS D Working Capital'!I17</f>
        <v>0</v>
      </c>
      <c r="H101" s="108"/>
      <c r="I101" s="204" t="s">
        <v>262</v>
      </c>
      <c r="J101" s="214">
        <f t="shared" si="8"/>
        <v>0.95418251235664331</v>
      </c>
      <c r="K101" s="139"/>
      <c r="L101" s="210">
        <f>+J101*G101</f>
        <v>0</v>
      </c>
      <c r="M101" s="108"/>
      <c r="N101" s="209">
        <v>0</v>
      </c>
      <c r="O101" s="151"/>
      <c r="P101" s="209">
        <f t="shared" si="5"/>
        <v>0</v>
      </c>
    </row>
    <row r="102" spans="1:16">
      <c r="B102" s="342">
        <f t="shared" si="7"/>
        <v>56</v>
      </c>
      <c r="C102" s="341"/>
      <c r="D102" s="205" t="s">
        <v>473</v>
      </c>
      <c r="E102" s="131" t="str">
        <f>"(Worksheet D, ln "&amp;'[4]OKT WS D Working Capital'!A19&amp;"."&amp;'[4]OKT WS D Working Capital'!I$6&amp;")"</f>
        <v>(Worksheet D, ln 4.(F))</v>
      </c>
      <c r="F102" s="343"/>
      <c r="G102" s="154">
        <f>+'[4]OKT WS D Working Capital'!I19</f>
        <v>0</v>
      </c>
      <c r="H102" s="108"/>
      <c r="I102" s="204" t="s">
        <v>268</v>
      </c>
      <c r="J102" s="214">
        <f t="shared" si="8"/>
        <v>0.95418251235664331</v>
      </c>
      <c r="K102" s="139"/>
      <c r="L102" s="210">
        <f>+J102*G102</f>
        <v>0</v>
      </c>
      <c r="M102" s="108"/>
      <c r="N102" s="209">
        <v>0</v>
      </c>
      <c r="O102" s="151"/>
      <c r="P102" s="209">
        <f t="shared" si="5"/>
        <v>0</v>
      </c>
    </row>
    <row r="103" spans="1:16">
      <c r="A103" s="105"/>
      <c r="B103" s="342">
        <f t="shared" si="7"/>
        <v>57</v>
      </c>
      <c r="C103" s="341"/>
      <c r="D103" s="155" t="s">
        <v>472</v>
      </c>
      <c r="E103" s="131" t="s">
        <v>471</v>
      </c>
      <c r="F103" s="339"/>
      <c r="G103" s="154">
        <f>+'[4]OKT WS D Working Capital'!J29</f>
        <v>0</v>
      </c>
      <c r="H103" s="340"/>
      <c r="I103" s="175" t="s">
        <v>262</v>
      </c>
      <c r="J103" s="214">
        <f t="shared" si="8"/>
        <v>0.95418251235664331</v>
      </c>
      <c r="K103" s="131"/>
      <c r="L103" s="154">
        <f>+J103*G103</f>
        <v>0</v>
      </c>
      <c r="M103" s="108"/>
      <c r="N103" s="209">
        <v>0</v>
      </c>
      <c r="O103" s="151"/>
      <c r="P103" s="209">
        <f t="shared" si="5"/>
        <v>0</v>
      </c>
    </row>
    <row r="104" spans="1:16">
      <c r="B104" s="332">
        <f t="shared" si="7"/>
        <v>58</v>
      </c>
      <c r="C104" s="338"/>
      <c r="D104" s="205" t="s">
        <v>470</v>
      </c>
      <c r="E104" s="131" t="s">
        <v>469</v>
      </c>
      <c r="F104" s="339"/>
      <c r="G104" s="154">
        <f>+'[4]OKT WS D Working Capital'!I29</f>
        <v>57862.154999999999</v>
      </c>
      <c r="H104" s="143"/>
      <c r="I104" s="175" t="s">
        <v>268</v>
      </c>
      <c r="J104" s="214">
        <f t="shared" si="8"/>
        <v>0.95418251235664331</v>
      </c>
      <c r="K104" s="131"/>
      <c r="L104" s="154">
        <f>+G104*J104</f>
        <v>55211.056428269512</v>
      </c>
      <c r="M104" s="108"/>
      <c r="N104" s="209">
        <v>57862.154999999999</v>
      </c>
      <c r="O104" s="151"/>
      <c r="P104" s="209">
        <f t="shared" si="5"/>
        <v>2651.0985717304866</v>
      </c>
    </row>
    <row r="105" spans="1:16">
      <c r="B105" s="332">
        <f t="shared" si="7"/>
        <v>59</v>
      </c>
      <c r="C105" s="338"/>
      <c r="D105" s="205" t="s">
        <v>468</v>
      </c>
      <c r="E105" s="131" t="s">
        <v>467</v>
      </c>
      <c r="F105" s="339"/>
      <c r="G105" s="154">
        <f>+'[4]OKT WS D Working Capital'!G29</f>
        <v>15650</v>
      </c>
      <c r="H105" s="143"/>
      <c r="I105" s="175" t="s">
        <v>269</v>
      </c>
      <c r="J105" s="214">
        <f t="shared" si="8"/>
        <v>1</v>
      </c>
      <c r="K105" s="131"/>
      <c r="L105" s="154">
        <f>+G105</f>
        <v>15650</v>
      </c>
      <c r="M105" s="108"/>
      <c r="N105" s="209">
        <v>15650</v>
      </c>
      <c r="O105" s="151"/>
      <c r="P105" s="209">
        <f t="shared" si="5"/>
        <v>0</v>
      </c>
    </row>
    <row r="106" spans="1:16" ht="15.75" thickBot="1">
      <c r="B106" s="332">
        <f t="shared" si="7"/>
        <v>60</v>
      </c>
      <c r="C106" s="338"/>
      <c r="D106" s="205" t="s">
        <v>466</v>
      </c>
      <c r="E106" s="131" t="s">
        <v>465</v>
      </c>
      <c r="F106" s="339"/>
      <c r="G106" s="163">
        <f>+'[4]OKT WS D Working Capital'!E29</f>
        <v>0</v>
      </c>
      <c r="H106" s="154"/>
      <c r="I106" s="175" t="s">
        <v>266</v>
      </c>
      <c r="J106" s="214">
        <f t="shared" si="8"/>
        <v>0</v>
      </c>
      <c r="K106" s="131"/>
      <c r="L106" s="163">
        <f>+G106*J106</f>
        <v>0</v>
      </c>
      <c r="M106" s="108"/>
      <c r="N106" s="211">
        <v>0</v>
      </c>
      <c r="O106" s="151"/>
      <c r="P106" s="211">
        <f t="shared" si="5"/>
        <v>0</v>
      </c>
    </row>
    <row r="107" spans="1:16">
      <c r="B107" s="332">
        <f t="shared" si="7"/>
        <v>61</v>
      </c>
      <c r="C107" s="338"/>
      <c r="D107" s="205" t="s">
        <v>464</v>
      </c>
      <c r="E107" s="205" t="str">
        <f>"(sum lns "&amp;B99&amp;" to "&amp;B106&amp;")"</f>
        <v>(sum lns 53 to 60)</v>
      </c>
      <c r="F107" s="125"/>
      <c r="G107" s="154">
        <f>SUM(G99:G106)</f>
        <v>388096.53</v>
      </c>
      <c r="H107" s="125"/>
      <c r="I107" s="114"/>
      <c r="J107" s="125"/>
      <c r="K107" s="125"/>
      <c r="L107" s="154">
        <f>SUM(L99:L106)</f>
        <v>371031.9657139139</v>
      </c>
      <c r="M107" s="108"/>
      <c r="N107" s="209">
        <v>388096.53</v>
      </c>
      <c r="O107" s="151"/>
      <c r="P107" s="209">
        <f t="shared" si="5"/>
        <v>17064.564286086126</v>
      </c>
    </row>
    <row r="108" spans="1:16">
      <c r="B108" s="134"/>
      <c r="C108" s="133"/>
      <c r="D108" s="205"/>
      <c r="E108" s="138"/>
      <c r="F108" s="138"/>
      <c r="G108" s="210"/>
      <c r="H108" s="138"/>
      <c r="I108" s="133"/>
      <c r="J108" s="138"/>
      <c r="K108" s="138"/>
      <c r="L108" s="210"/>
      <c r="M108" s="108"/>
      <c r="N108" s="209"/>
      <c r="O108" s="151"/>
      <c r="P108" s="209" t="str">
        <f t="shared" si="5"/>
        <v/>
      </c>
    </row>
    <row r="109" spans="1:16">
      <c r="B109" s="134">
        <f>+B107+1</f>
        <v>62</v>
      </c>
      <c r="C109" s="133"/>
      <c r="D109" s="155" t="s">
        <v>463</v>
      </c>
      <c r="E109" s="135" t="str">
        <f>"(Note H) (Worksheet E, ln "&amp;'[4]OKT WS E IPP Credits'!A21&amp;".(B))"</f>
        <v>(Note H) (Worksheet E, ln 8.(B))</v>
      </c>
      <c r="F109" s="138"/>
      <c r="G109" s="154">
        <f>IF(G63=0,0,-'[4]OKT WS E IPP Credits'!C21)</f>
        <v>0</v>
      </c>
      <c r="H109" s="138"/>
      <c r="I109" s="258" t="s">
        <v>269</v>
      </c>
      <c r="J109" s="214">
        <f>VLOOKUP(I109,PSO_TU_Allocators,2,FALSE)</f>
        <v>1</v>
      </c>
      <c r="K109" s="139"/>
      <c r="L109" s="210">
        <f>+J109*G109</f>
        <v>0</v>
      </c>
      <c r="M109" s="108"/>
      <c r="N109" s="209">
        <v>0</v>
      </c>
      <c r="O109" s="151"/>
      <c r="P109" s="209">
        <f t="shared" si="5"/>
        <v>0</v>
      </c>
    </row>
    <row r="110" spans="1:16" ht="15.75" thickBot="1">
      <c r="B110" s="336"/>
      <c r="C110" s="192"/>
      <c r="D110" s="276"/>
      <c r="E110" s="139"/>
      <c r="F110" s="139"/>
      <c r="G110" s="212"/>
      <c r="H110" s="139"/>
      <c r="I110" s="204"/>
      <c r="J110" s="139"/>
      <c r="K110" s="139"/>
      <c r="L110" s="212"/>
      <c r="M110" s="108"/>
      <c r="N110" s="211"/>
      <c r="O110" s="151"/>
      <c r="P110" s="211" t="str">
        <f t="shared" si="5"/>
        <v/>
      </c>
    </row>
    <row r="111" spans="1:16" ht="15.75" thickBot="1">
      <c r="B111" s="134">
        <f>+B109+1</f>
        <v>63</v>
      </c>
      <c r="C111" s="133"/>
      <c r="D111" s="135" t="str">
        <f>"RATE BASE  (sum lns "&amp;B83&amp;", "&amp;B92&amp;", "&amp;B94&amp;", "&amp;B107&amp;", "&amp;B109&amp;")"</f>
        <v>RATE BASE  (sum lns 43, 50, 51, 61, 62)</v>
      </c>
      <c r="E111" s="139"/>
      <c r="F111" s="139"/>
      <c r="G111" s="254">
        <f>+G107+G94+G92+G83+G109</f>
        <v>304118165.97500002</v>
      </c>
      <c r="H111" s="139"/>
      <c r="I111" s="139"/>
      <c r="J111" s="267"/>
      <c r="K111" s="139"/>
      <c r="L111" s="254">
        <f>+L107+L94+L92+L83+L109</f>
        <v>283171030.7521615</v>
      </c>
      <c r="M111" s="108"/>
      <c r="N111" s="253">
        <v>297189204.94</v>
      </c>
      <c r="O111" s="151"/>
      <c r="P111" s="253">
        <f t="shared" si="5"/>
        <v>14018174.187838495</v>
      </c>
    </row>
    <row r="112" spans="1:16" ht="16.5" thickTop="1">
      <c r="B112" s="134"/>
      <c r="C112" s="108"/>
      <c r="D112" s="108"/>
      <c r="E112" s="337"/>
      <c r="F112" s="108"/>
      <c r="G112" s="108"/>
      <c r="H112" s="108"/>
      <c r="I112" s="249"/>
      <c r="J112" s="249"/>
      <c r="K112" s="249"/>
      <c r="L112" s="120"/>
      <c r="M112" s="108"/>
      <c r="N112" s="242"/>
      <c r="O112" s="151"/>
      <c r="P112" s="242" t="str">
        <f t="shared" si="5"/>
        <v/>
      </c>
    </row>
    <row r="113" spans="1:16">
      <c r="B113" s="134"/>
      <c r="C113" s="133"/>
      <c r="D113" s="135"/>
      <c r="E113" s="139"/>
      <c r="F113" s="139"/>
      <c r="G113" s="139"/>
      <c r="H113" s="139"/>
      <c r="I113" s="139"/>
      <c r="J113" s="139"/>
      <c r="K113" s="139"/>
      <c r="L113" s="139"/>
      <c r="M113" s="108"/>
      <c r="N113" s="174"/>
      <c r="O113" s="151"/>
      <c r="P113" s="174" t="str">
        <f t="shared" si="5"/>
        <v/>
      </c>
    </row>
    <row r="114" spans="1:16">
      <c r="B114" s="134"/>
      <c r="C114" s="133"/>
      <c r="D114" s="135"/>
      <c r="E114" s="139"/>
      <c r="F114" s="204" t="str">
        <f>F42</f>
        <v xml:space="preserve">AEP West SPP Member Companies </v>
      </c>
      <c r="G114" s="204"/>
      <c r="H114" s="139"/>
      <c r="I114" s="139"/>
      <c r="J114" s="139"/>
      <c r="K114" s="139"/>
      <c r="L114" s="139"/>
      <c r="M114" s="108"/>
      <c r="N114" s="174"/>
      <c r="O114" s="151"/>
      <c r="P114" s="174" t="str">
        <f t="shared" si="5"/>
        <v/>
      </c>
    </row>
    <row r="115" spans="1:16">
      <c r="B115" s="134"/>
      <c r="C115" s="133"/>
      <c r="D115" s="135"/>
      <c r="E115" s="139"/>
      <c r="F115" s="204" t="str">
        <f>F43</f>
        <v>Transmission Cost of Service Formula Rate</v>
      </c>
      <c r="G115" s="204"/>
      <c r="H115" s="139"/>
      <c r="I115" s="139"/>
      <c r="J115" s="139"/>
      <c r="K115" s="139"/>
      <c r="L115" s="139"/>
      <c r="M115" s="108"/>
      <c r="N115" s="174"/>
      <c r="O115" s="151"/>
      <c r="P115" s="174" t="str">
        <f t="shared" si="5"/>
        <v/>
      </c>
    </row>
    <row r="116" spans="1:16">
      <c r="B116" s="134"/>
      <c r="C116" s="133"/>
      <c r="D116" s="192"/>
      <c r="E116" s="139"/>
      <c r="F116" s="204" t="str">
        <f>F44</f>
        <v>Utilizing Actual Cost Data for 2015 with Average Ratebase Balances</v>
      </c>
      <c r="G116" s="139"/>
      <c r="H116" s="139"/>
      <c r="I116" s="139"/>
      <c r="J116" s="139"/>
      <c r="K116" s="139"/>
      <c r="L116" s="139"/>
      <c r="M116" s="108"/>
      <c r="N116" s="174"/>
      <c r="O116" s="151"/>
      <c r="P116" s="174" t="str">
        <f t="shared" ref="P116:P121" si="9">IF(N116="","",N116-L116)</f>
        <v/>
      </c>
    </row>
    <row r="117" spans="1:16">
      <c r="B117" s="134"/>
      <c r="C117" s="133"/>
      <c r="D117" s="192"/>
      <c r="E117" s="139"/>
      <c r="F117" s="204"/>
      <c r="G117" s="139"/>
      <c r="H117" s="139"/>
      <c r="I117" s="139"/>
      <c r="J117" s="139"/>
      <c r="K117" s="139"/>
      <c r="L117" s="139"/>
      <c r="M117" s="108"/>
      <c r="N117" s="174"/>
      <c r="O117" s="151"/>
      <c r="P117" s="174" t="str">
        <f t="shared" si="9"/>
        <v/>
      </c>
    </row>
    <row r="118" spans="1:16">
      <c r="B118" s="134"/>
      <c r="C118" s="133"/>
      <c r="D118" s="192"/>
      <c r="E118" s="140"/>
      <c r="F118" s="204" t="str">
        <f>F46</f>
        <v>AEP OKLAHOMA TRANSMISSION COMPANY, INC</v>
      </c>
      <c r="G118" s="140"/>
      <c r="H118" s="122"/>
      <c r="I118" s="140"/>
      <c r="J118" s="140"/>
      <c r="K118" s="140"/>
      <c r="L118" s="192"/>
      <c r="M118" s="108"/>
      <c r="N118" s="242"/>
      <c r="O118" s="151"/>
      <c r="P118" s="242" t="str">
        <f t="shared" si="9"/>
        <v/>
      </c>
    </row>
    <row r="119" spans="1:16">
      <c r="B119" s="134"/>
      <c r="C119" s="133"/>
      <c r="D119" s="192"/>
      <c r="E119" s="140"/>
      <c r="F119" s="204"/>
      <c r="G119" s="140"/>
      <c r="H119" s="122"/>
      <c r="I119" s="140"/>
      <c r="J119" s="140"/>
      <c r="K119" s="140"/>
      <c r="L119" s="192"/>
      <c r="M119" s="108"/>
      <c r="N119" s="242"/>
      <c r="O119" s="151"/>
      <c r="P119" s="242" t="str">
        <f t="shared" si="9"/>
        <v/>
      </c>
    </row>
    <row r="120" spans="1:16">
      <c r="B120" s="336"/>
      <c r="C120" s="192"/>
      <c r="D120" s="133" t="s">
        <v>462</v>
      </c>
      <c r="E120" s="133" t="s">
        <v>461</v>
      </c>
      <c r="F120" s="133"/>
      <c r="G120" s="133" t="s">
        <v>460</v>
      </c>
      <c r="H120" s="131"/>
      <c r="I120" s="481" t="s">
        <v>459</v>
      </c>
      <c r="J120" s="482"/>
      <c r="K120" s="139"/>
      <c r="L120" s="335" t="s">
        <v>458</v>
      </c>
      <c r="M120" s="108"/>
      <c r="N120" s="334" t="s">
        <v>458</v>
      </c>
      <c r="O120" s="151"/>
      <c r="P120" s="334">
        <f t="shared" si="9"/>
        <v>0</v>
      </c>
    </row>
    <row r="121" spans="1:16" ht="15.75">
      <c r="B121" s="104"/>
      <c r="C121" s="192"/>
      <c r="D121" s="133"/>
      <c r="E121" s="133"/>
      <c r="F121" s="133"/>
      <c r="G121" s="133"/>
      <c r="H121" s="131"/>
      <c r="I121" s="139"/>
      <c r="J121" s="333"/>
      <c r="K121" s="139"/>
      <c r="L121" s="192"/>
      <c r="M121" s="108"/>
      <c r="N121" s="242"/>
      <c r="O121" s="327"/>
      <c r="P121" s="242" t="str">
        <f t="shared" si="9"/>
        <v/>
      </c>
    </row>
    <row r="122" spans="1:16" ht="15.75">
      <c r="B122" s="332"/>
      <c r="C122" s="133"/>
      <c r="D122" s="141" t="s">
        <v>457</v>
      </c>
      <c r="E122" s="330" t="str">
        <f>E50</f>
        <v>Data Sources</v>
      </c>
      <c r="F122" s="331"/>
      <c r="G122" s="139"/>
      <c r="H122" s="131"/>
      <c r="I122" s="139"/>
      <c r="J122" s="133"/>
      <c r="K122" s="139"/>
      <c r="L122" s="330" t="str">
        <f>L50</f>
        <v>Total</v>
      </c>
      <c r="M122" s="108"/>
      <c r="N122" s="329" t="s">
        <v>372</v>
      </c>
      <c r="O122" s="327"/>
      <c r="P122" s="329" t="s">
        <v>372</v>
      </c>
    </row>
    <row r="123" spans="1:16" ht="15.75">
      <c r="B123" s="104"/>
      <c r="C123" s="132"/>
      <c r="D123" s="322" t="s">
        <v>456</v>
      </c>
      <c r="E123" s="328" t="str">
        <f>E51</f>
        <v>(See "General Notes")</v>
      </c>
      <c r="F123" s="139"/>
      <c r="G123" s="328" t="str">
        <f>G51</f>
        <v>TO Total</v>
      </c>
      <c r="H123" s="196"/>
      <c r="I123" s="471" t="str">
        <f>I51</f>
        <v>Allocator</v>
      </c>
      <c r="J123" s="472"/>
      <c r="K123" s="191"/>
      <c r="L123" s="328" t="str">
        <f>L51</f>
        <v>Transmission</v>
      </c>
      <c r="M123" s="108"/>
      <c r="N123" s="326" t="s">
        <v>455</v>
      </c>
      <c r="O123" s="327"/>
      <c r="P123" s="326" t="s">
        <v>455</v>
      </c>
    </row>
    <row r="124" spans="1:16" ht="15.75">
      <c r="B124" s="325" t="str">
        <f>B52</f>
        <v>Line</v>
      </c>
      <c r="C124" s="192"/>
      <c r="D124" s="135"/>
      <c r="E124" s="139"/>
      <c r="F124" s="139"/>
      <c r="G124" s="322"/>
      <c r="H124" s="324"/>
      <c r="I124" s="141"/>
      <c r="J124" s="192"/>
      <c r="K124" s="323"/>
      <c r="L124" s="322"/>
      <c r="M124" s="108"/>
      <c r="N124" s="321"/>
      <c r="O124" s="151"/>
      <c r="P124" s="321" t="str">
        <f t="shared" ref="P124:P155" si="10">IF(N124="","",N124-L124)</f>
        <v/>
      </c>
    </row>
    <row r="125" spans="1:16" ht="15.75" thickBot="1">
      <c r="B125" s="243" t="str">
        <f>B53</f>
        <v>No.</v>
      </c>
      <c r="C125" s="133"/>
      <c r="D125" s="135" t="s">
        <v>454</v>
      </c>
      <c r="E125" s="139"/>
      <c r="F125" s="139"/>
      <c r="G125" s="139"/>
      <c r="H125" s="131"/>
      <c r="I125" s="204"/>
      <c r="J125" s="139"/>
      <c r="K125" s="139"/>
      <c r="L125" s="139"/>
      <c r="M125" s="108"/>
      <c r="N125" s="174"/>
      <c r="O125" s="151"/>
      <c r="P125" s="174" t="str">
        <f t="shared" si="10"/>
        <v/>
      </c>
    </row>
    <row r="126" spans="1:16">
      <c r="B126" s="319">
        <f>+B111+1</f>
        <v>64</v>
      </c>
      <c r="C126" s="133"/>
      <c r="D126" s="119" t="s">
        <v>453</v>
      </c>
      <c r="E126" s="139" t="s">
        <v>452</v>
      </c>
      <c r="F126" s="131"/>
      <c r="G126" s="237">
        <f>+'[4]OKT Historic TCOS'!G136</f>
        <v>2568852</v>
      </c>
      <c r="H126" s="154"/>
      <c r="I126" s="108"/>
      <c r="J126" s="108"/>
      <c r="K126" s="108"/>
      <c r="L126" s="108"/>
      <c r="M126" s="108"/>
      <c r="N126" s="317"/>
      <c r="O126" s="269"/>
      <c r="P126" s="317" t="str">
        <f t="shared" si="10"/>
        <v/>
      </c>
    </row>
    <row r="127" spans="1:16">
      <c r="A127" s="108"/>
      <c r="B127" s="319">
        <f>+B126+1</f>
        <v>65</v>
      </c>
      <c r="C127" s="133"/>
      <c r="D127" s="119" t="s">
        <v>451</v>
      </c>
      <c r="E127" s="131" t="s">
        <v>435</v>
      </c>
      <c r="F127" s="131"/>
      <c r="G127" s="237">
        <f>+'[4]OKT Historic TCOS'!G137</f>
        <v>52177</v>
      </c>
      <c r="H127" s="154"/>
      <c r="I127" s="108"/>
      <c r="J127" s="108"/>
      <c r="K127" s="108"/>
      <c r="L127" s="108"/>
      <c r="M127" s="108"/>
      <c r="N127" s="317"/>
      <c r="O127" s="269"/>
      <c r="P127" s="317" t="str">
        <f t="shared" si="10"/>
        <v/>
      </c>
    </row>
    <row r="128" spans="1:16">
      <c r="A128" s="108"/>
      <c r="B128" s="319">
        <f>+B127+1</f>
        <v>66</v>
      </c>
      <c r="C128" s="133"/>
      <c r="D128" s="119" t="s">
        <v>450</v>
      </c>
      <c r="E128" s="131" t="s">
        <v>433</v>
      </c>
      <c r="F128" s="131"/>
      <c r="G128" s="237">
        <f>+'[4]OKT Historic TCOS'!G138</f>
        <v>0</v>
      </c>
      <c r="H128" s="154"/>
      <c r="I128" s="108"/>
      <c r="J128" s="108"/>
      <c r="K128" s="108"/>
      <c r="L128" s="108"/>
      <c r="M128" s="108"/>
      <c r="N128" s="317"/>
      <c r="O128" s="269"/>
      <c r="P128" s="317" t="str">
        <f t="shared" si="10"/>
        <v/>
      </c>
    </row>
    <row r="129" spans="1:16" ht="15.75" thickBot="1">
      <c r="A129" s="108"/>
      <c r="B129" s="319">
        <f>+B128+1</f>
        <v>67</v>
      </c>
      <c r="C129" s="133"/>
      <c r="D129" s="119" t="str">
        <f>"Less: expenses 100% assigned to TO billed customers (Worksheet I, ln "&amp;'[4]OKT WS I Exp Adj'!B21&amp;")"</f>
        <v>Less: expenses 100% assigned to TO billed customers (Worksheet I, ln 14)</v>
      </c>
      <c r="E129" s="131"/>
      <c r="F129" s="131"/>
      <c r="G129" s="320">
        <f>+'[4]OKT WS I Exp Adj'!G21</f>
        <v>0</v>
      </c>
      <c r="H129" s="154"/>
      <c r="I129" s="108"/>
      <c r="J129" s="108"/>
      <c r="K129" s="108"/>
      <c r="L129" s="108"/>
      <c r="M129" s="108"/>
      <c r="N129" s="317"/>
      <c r="O129" s="269"/>
      <c r="P129" s="317" t="str">
        <f t="shared" si="10"/>
        <v/>
      </c>
    </row>
    <row r="130" spans="1:16">
      <c r="A130" s="108"/>
      <c r="B130" s="319">
        <f>+B129+1</f>
        <v>68</v>
      </c>
      <c r="C130" s="133"/>
      <c r="D130" s="119" t="s">
        <v>449</v>
      </c>
      <c r="E130" s="139" t="str">
        <f>"(lns "&amp;B126&amp;" - "&amp;B127&amp;" - "&amp;B128&amp;" - "&amp;B129&amp;")"</f>
        <v>(lns 64 - 65 - 66 - 67)</v>
      </c>
      <c r="F130" s="119"/>
      <c r="G130" s="154">
        <f>+G126-G127-G128-G129</f>
        <v>2516675</v>
      </c>
      <c r="H130" s="131"/>
      <c r="I130" s="204" t="s">
        <v>264</v>
      </c>
      <c r="J130" s="214">
        <f>VLOOKUP(I130,PSO_TU_Allocators,2,FALSE)</f>
        <v>0.95418251235664331</v>
      </c>
      <c r="K130" s="131"/>
      <c r="L130" s="154">
        <f>+J130*G130</f>
        <v>2401367.2742851553</v>
      </c>
      <c r="M130" s="108"/>
      <c r="N130" s="209">
        <v>2516675</v>
      </c>
      <c r="O130" s="269"/>
      <c r="P130" s="209">
        <f t="shared" si="10"/>
        <v>115307.72571484465</v>
      </c>
    </row>
    <row r="131" spans="1:16">
      <c r="A131" s="108"/>
      <c r="B131" s="134"/>
      <c r="C131" s="133"/>
      <c r="D131" s="119"/>
      <c r="E131" s="131"/>
      <c r="F131" s="131"/>
      <c r="G131" s="318"/>
      <c r="H131" s="154"/>
      <c r="I131" s="108"/>
      <c r="J131" s="108"/>
      <c r="K131" s="108"/>
      <c r="L131" s="108"/>
      <c r="M131" s="108"/>
      <c r="N131" s="317"/>
      <c r="O131" s="269"/>
      <c r="P131" s="317" t="str">
        <f t="shared" si="10"/>
        <v/>
      </c>
    </row>
    <row r="132" spans="1:16">
      <c r="A132" s="108"/>
      <c r="B132" s="134">
        <f>+B130+1</f>
        <v>69</v>
      </c>
      <c r="C132" s="133"/>
      <c r="D132" s="135" t="s">
        <v>448</v>
      </c>
      <c r="E132" s="139" t="s">
        <v>447</v>
      </c>
      <c r="F132" s="139"/>
      <c r="G132" s="154">
        <f>+'[4]OKT Historic TCOS'!G142</f>
        <v>1596498</v>
      </c>
      <c r="H132" s="154"/>
      <c r="I132" s="287"/>
      <c r="J132" s="287"/>
      <c r="K132" s="139"/>
      <c r="L132" s="210"/>
      <c r="M132" s="108"/>
      <c r="N132" s="209"/>
      <c r="O132" s="269"/>
      <c r="P132" s="209" t="str">
        <f t="shared" si="10"/>
        <v/>
      </c>
    </row>
    <row r="133" spans="1:16">
      <c r="A133" s="108"/>
      <c r="B133" s="134">
        <f t="shared" ref="B133:B141" si="11">+B132+1</f>
        <v>70</v>
      </c>
      <c r="C133" s="133"/>
      <c r="D133" s="119" t="s">
        <v>446</v>
      </c>
      <c r="E133" s="139" t="s">
        <v>445</v>
      </c>
      <c r="F133" s="139"/>
      <c r="G133" s="154">
        <f>+'[4]OKT Historic TCOS'!G143</f>
        <v>87696</v>
      </c>
      <c r="H133" s="154"/>
      <c r="I133" s="287"/>
      <c r="J133" s="135"/>
      <c r="K133" s="139"/>
      <c r="L133" s="210"/>
      <c r="M133" s="108"/>
      <c r="N133" s="209"/>
      <c r="O133" s="269"/>
      <c r="P133" s="209" t="str">
        <f t="shared" si="10"/>
        <v/>
      </c>
    </row>
    <row r="134" spans="1:16">
      <c r="B134" s="134">
        <f t="shared" si="11"/>
        <v>71</v>
      </c>
      <c r="C134" s="133"/>
      <c r="D134" s="135" t="s">
        <v>444</v>
      </c>
      <c r="E134" s="139" t="s">
        <v>443</v>
      </c>
      <c r="F134" s="131"/>
      <c r="G134" s="154">
        <f>+'[4]OKT Historic TCOS'!G144</f>
        <v>0</v>
      </c>
      <c r="H134" s="154"/>
      <c r="I134" s="287"/>
      <c r="J134" s="316"/>
      <c r="K134" s="139"/>
      <c r="L134" s="210"/>
      <c r="M134" s="108"/>
      <c r="N134" s="209"/>
      <c r="O134" s="269"/>
      <c r="P134" s="209" t="str">
        <f t="shared" si="10"/>
        <v/>
      </c>
    </row>
    <row r="135" spans="1:16">
      <c r="B135" s="134">
        <f t="shared" si="11"/>
        <v>72</v>
      </c>
      <c r="C135" s="133"/>
      <c r="D135" s="119" t="s">
        <v>442</v>
      </c>
      <c r="E135" s="139" t="s">
        <v>441</v>
      </c>
      <c r="F135" s="131"/>
      <c r="G135" s="154">
        <f>+'[4]OKT Historic TCOS'!G145</f>
        <v>0</v>
      </c>
      <c r="H135" s="154"/>
      <c r="I135" s="287"/>
      <c r="J135" s="287"/>
      <c r="K135" s="139"/>
      <c r="L135" s="210"/>
      <c r="M135" s="108"/>
      <c r="N135" s="209"/>
      <c r="O135" s="269"/>
      <c r="P135" s="209" t="str">
        <f t="shared" si="10"/>
        <v/>
      </c>
    </row>
    <row r="136" spans="1:16" ht="15.75" thickBot="1">
      <c r="B136" s="134">
        <f t="shared" si="11"/>
        <v>73</v>
      </c>
      <c r="C136" s="133"/>
      <c r="D136" s="119" t="s">
        <v>440</v>
      </c>
      <c r="E136" s="139" t="s">
        <v>439</v>
      </c>
      <c r="F136" s="131"/>
      <c r="G136" s="163">
        <f>+'[4]OKT Historic TCOS'!G146</f>
        <v>39614</v>
      </c>
      <c r="H136" s="154"/>
      <c r="I136" s="287"/>
      <c r="J136" s="287"/>
      <c r="K136" s="139"/>
      <c r="L136" s="210"/>
      <c r="M136" s="108"/>
      <c r="N136" s="209"/>
      <c r="O136" s="269"/>
      <c r="P136" s="209" t="str">
        <f t="shared" si="10"/>
        <v/>
      </c>
    </row>
    <row r="137" spans="1:16">
      <c r="B137" s="134">
        <f t="shared" si="11"/>
        <v>74</v>
      </c>
      <c r="C137" s="133"/>
      <c r="D137" s="135" t="s">
        <v>438</v>
      </c>
      <c r="E137" s="131" t="str">
        <f>"(ln "&amp;B132&amp;" - sum ln "&amp;B133&amp;"  to ln "&amp;B136&amp;")"</f>
        <v>(ln 69 - sum ln 70  to ln 73)</v>
      </c>
      <c r="F137" s="131"/>
      <c r="G137" s="154">
        <f>G132-SUM(G133:G136)</f>
        <v>1469188</v>
      </c>
      <c r="H137" s="154"/>
      <c r="I137" s="204" t="s">
        <v>262</v>
      </c>
      <c r="J137" s="214">
        <f t="shared" ref="J137:J142" si="12">VLOOKUP(I137,PSO_TU_Allocators,2,FALSE)</f>
        <v>0.95418251235664331</v>
      </c>
      <c r="K137" s="139"/>
      <c r="L137" s="210">
        <f>+J137*G137</f>
        <v>1401873.4969642321</v>
      </c>
      <c r="M137" s="108"/>
      <c r="N137" s="209">
        <v>1469188</v>
      </c>
      <c r="O137" s="269"/>
      <c r="P137" s="209">
        <f t="shared" si="10"/>
        <v>67314.503035767935</v>
      </c>
    </row>
    <row r="138" spans="1:16">
      <c r="B138" s="115">
        <f t="shared" si="11"/>
        <v>75</v>
      </c>
      <c r="C138" s="114"/>
      <c r="D138" s="119" t="s">
        <v>437</v>
      </c>
      <c r="E138" s="131" t="str">
        <f>"(ln "&amp;B133&amp;")"</f>
        <v>(ln 70)</v>
      </c>
      <c r="F138" s="131"/>
      <c r="G138" s="154">
        <f>+G133</f>
        <v>87696</v>
      </c>
      <c r="H138" s="154"/>
      <c r="I138" s="315" t="s">
        <v>268</v>
      </c>
      <c r="J138" s="214">
        <f t="shared" si="12"/>
        <v>0.95418251235664331</v>
      </c>
      <c r="K138" s="131"/>
      <c r="L138" s="154">
        <f>+J138*G138</f>
        <v>83677.989603628186</v>
      </c>
      <c r="M138" s="108"/>
      <c r="N138" s="209">
        <v>87696</v>
      </c>
      <c r="O138" s="269"/>
      <c r="P138" s="209">
        <f t="shared" si="10"/>
        <v>4018.0103963718138</v>
      </c>
    </row>
    <row r="139" spans="1:16">
      <c r="B139" s="134">
        <f t="shared" si="11"/>
        <v>76</v>
      </c>
      <c r="C139" s="133"/>
      <c r="D139" s="119" t="s">
        <v>436</v>
      </c>
      <c r="E139" s="131" t="s">
        <v>435</v>
      </c>
      <c r="F139" s="131"/>
      <c r="G139" s="154">
        <f>+'[4]OKT WS J Misc Exp'!F23</f>
        <v>0</v>
      </c>
      <c r="H139" s="154"/>
      <c r="I139" s="204" t="s">
        <v>264</v>
      </c>
      <c r="J139" s="214">
        <f t="shared" si="12"/>
        <v>0.95418251235664331</v>
      </c>
      <c r="K139" s="139"/>
      <c r="L139" s="210">
        <f>J139*G139</f>
        <v>0</v>
      </c>
      <c r="M139" s="108"/>
      <c r="N139" s="209">
        <v>0</v>
      </c>
      <c r="O139" s="269"/>
      <c r="P139" s="209">
        <f t="shared" si="10"/>
        <v>0</v>
      </c>
    </row>
    <row r="140" spans="1:16">
      <c r="B140" s="134">
        <f t="shared" si="11"/>
        <v>77</v>
      </c>
      <c r="C140" s="133"/>
      <c r="D140" s="119" t="s">
        <v>434</v>
      </c>
      <c r="E140" s="131" t="s">
        <v>433</v>
      </c>
      <c r="F140" s="131"/>
      <c r="G140" s="237">
        <f>'[4]OKT WS J Misc Exp'!F43</f>
        <v>0</v>
      </c>
      <c r="H140" s="131"/>
      <c r="I140" s="175" t="s">
        <v>268</v>
      </c>
      <c r="J140" s="214">
        <f t="shared" si="12"/>
        <v>0.95418251235664331</v>
      </c>
      <c r="K140" s="139"/>
      <c r="L140" s="252">
        <f>+J140*G140</f>
        <v>0</v>
      </c>
      <c r="M140" s="108"/>
      <c r="N140" s="236">
        <v>0</v>
      </c>
      <c r="O140" s="269"/>
      <c r="P140" s="236">
        <f t="shared" si="10"/>
        <v>0</v>
      </c>
    </row>
    <row r="141" spans="1:16">
      <c r="B141" s="134">
        <f t="shared" si="11"/>
        <v>78</v>
      </c>
      <c r="C141" s="133"/>
      <c r="D141" s="119" t="s">
        <v>432</v>
      </c>
      <c r="E141" s="131" t="str">
        <f>"Worksheet J ln "&amp;'[4]OKT WS J Misc Exp'!A52&amp;".(E) (Note L)"</f>
        <v>Worksheet J ln 32.(E) (Note L)</v>
      </c>
      <c r="F141" s="131"/>
      <c r="G141" s="237">
        <f>'[4]OKT WS J Misc Exp'!F52</f>
        <v>0</v>
      </c>
      <c r="H141" s="131"/>
      <c r="I141" s="175" t="s">
        <v>269</v>
      </c>
      <c r="J141" s="214">
        <f t="shared" si="12"/>
        <v>1</v>
      </c>
      <c r="K141" s="139"/>
      <c r="L141" s="210">
        <f>J141*G141</f>
        <v>0</v>
      </c>
      <c r="M141" s="108"/>
      <c r="N141" s="209">
        <v>0</v>
      </c>
      <c r="O141" s="269"/>
      <c r="P141" s="209">
        <f t="shared" si="10"/>
        <v>0</v>
      </c>
    </row>
    <row r="142" spans="1:16" s="105" customFormat="1">
      <c r="B142" s="115" t="s">
        <v>431</v>
      </c>
      <c r="C142" s="114"/>
      <c r="D142" s="314" t="s">
        <v>430</v>
      </c>
      <c r="E142" s="131" t="str">
        <f>"Worksheet O ln "&amp;'[4]OKT WS O  PBOP'!A30&amp;".B"</f>
        <v>Worksheet O ln 16.B</v>
      </c>
      <c r="F142" s="131"/>
      <c r="G142" s="237">
        <f>'[4]OKT WS O  PBOP'!D30</f>
        <v>149930.71235547523</v>
      </c>
      <c r="H142" s="131"/>
      <c r="I142" s="175" t="s">
        <v>269</v>
      </c>
      <c r="J142" s="214">
        <f t="shared" si="12"/>
        <v>1</v>
      </c>
      <c r="K142" s="131"/>
      <c r="L142" s="154">
        <f>G142</f>
        <v>149930.71235547523</v>
      </c>
      <c r="M142" s="304"/>
      <c r="N142" s="209">
        <v>149930.71235547523</v>
      </c>
      <c r="O142" s="269"/>
      <c r="P142" s="209">
        <f t="shared" si="10"/>
        <v>0</v>
      </c>
    </row>
    <row r="143" spans="1:16" s="105" customFormat="1" ht="15.75" thickBot="1">
      <c r="B143" s="115">
        <f>+B141+1</f>
        <v>79</v>
      </c>
      <c r="C143" s="114"/>
      <c r="D143" s="119" t="s">
        <v>429</v>
      </c>
      <c r="E143" s="131" t="str">
        <f>"(sum lns "&amp;B137&amp;"  to "&amp;B141&amp;" less ln "&amp;B142&amp;")"</f>
        <v>(sum lns 74  to 78 less ln 78a)</v>
      </c>
      <c r="F143" s="131"/>
      <c r="G143" s="163">
        <f>SUM(G137:G142)</f>
        <v>1706814.7123554752</v>
      </c>
      <c r="H143" s="154"/>
      <c r="I143" s="175"/>
      <c r="J143" s="313"/>
      <c r="K143" s="131"/>
      <c r="L143" s="163">
        <f>SUM(L137:L142)</f>
        <v>1635482.1989233354</v>
      </c>
      <c r="M143" s="304"/>
      <c r="N143" s="211">
        <v>1706814.7123554752</v>
      </c>
      <c r="O143" s="269"/>
      <c r="P143" s="211">
        <f t="shared" si="10"/>
        <v>71332.513432139764</v>
      </c>
    </row>
    <row r="144" spans="1:16" s="105" customFormat="1">
      <c r="B144" s="115">
        <f>+B143+1</f>
        <v>80</v>
      </c>
      <c r="C144" s="114"/>
      <c r="D144" s="119" t="s">
        <v>428</v>
      </c>
      <c r="E144" s="131" t="str">
        <f>"(ln "&amp;B130&amp;" + ln "&amp;B143&amp;")"</f>
        <v>(ln 68 + ln 79)</v>
      </c>
      <c r="F144" s="131"/>
      <c r="G144" s="237">
        <f>G130+G143</f>
        <v>4223489.7123554749</v>
      </c>
      <c r="H144" s="154"/>
      <c r="I144" s="175"/>
      <c r="J144" s="126"/>
      <c r="K144" s="131"/>
      <c r="L144" s="154">
        <f>+L143+L130</f>
        <v>4036849.4732084908</v>
      </c>
      <c r="M144" s="304"/>
      <c r="N144" s="209">
        <v>4223489.7123554749</v>
      </c>
      <c r="O144" s="269"/>
      <c r="P144" s="209">
        <f t="shared" si="10"/>
        <v>186640.23914698418</v>
      </c>
    </row>
    <row r="145" spans="1:16" s="105" customFormat="1">
      <c r="B145" s="115"/>
      <c r="C145" s="114"/>
      <c r="D145" s="119"/>
      <c r="E145" s="131"/>
      <c r="F145" s="131"/>
      <c r="G145" s="237"/>
      <c r="H145" s="233"/>
      <c r="I145" s="234"/>
      <c r="J145" s="312"/>
      <c r="K145" s="233"/>
      <c r="L145" s="237"/>
      <c r="M145" s="304"/>
      <c r="N145" s="236"/>
      <c r="O145" s="269"/>
      <c r="P145" s="236" t="str">
        <f t="shared" si="10"/>
        <v/>
      </c>
    </row>
    <row r="146" spans="1:16" s="105" customFormat="1">
      <c r="B146" s="115">
        <f>+B144+1</f>
        <v>81</v>
      </c>
      <c r="C146" s="114"/>
      <c r="D146" s="155" t="s">
        <v>427</v>
      </c>
      <c r="E146" s="175"/>
      <c r="F146" s="175"/>
      <c r="G146" s="237"/>
      <c r="H146" s="233"/>
      <c r="I146" s="234"/>
      <c r="J146" s="233"/>
      <c r="K146" s="233"/>
      <c r="L146" s="237"/>
      <c r="M146" s="304"/>
      <c r="N146" s="236"/>
      <c r="O146" s="269"/>
      <c r="P146" s="236" t="str">
        <f t="shared" si="10"/>
        <v/>
      </c>
    </row>
    <row r="147" spans="1:16" s="105" customFormat="1">
      <c r="B147" s="115">
        <f>+B146+1</f>
        <v>82</v>
      </c>
      <c r="C147" s="114"/>
      <c r="D147" s="307" t="str">
        <f>+D126</f>
        <v xml:space="preserve">  Transmission </v>
      </c>
      <c r="E147" s="305" t="s">
        <v>426</v>
      </c>
      <c r="F147" s="306"/>
      <c r="G147" s="309">
        <f>+'[4]OKT Historic TCOS'!G158</f>
        <v>8143315</v>
      </c>
      <c r="H147" s="154"/>
      <c r="I147" s="311" t="s">
        <v>264</v>
      </c>
      <c r="J147" s="214">
        <f>VLOOKUP(I147,PSO_TU_Allocators,2,FALSE)</f>
        <v>0.95418251235664331</v>
      </c>
      <c r="K147" s="310"/>
      <c r="L147" s="309">
        <f>J147*G147</f>
        <v>7770208.7656115387</v>
      </c>
      <c r="M147" s="304"/>
      <c r="N147" s="308">
        <v>8143315</v>
      </c>
      <c r="O147" s="269"/>
      <c r="P147" s="308">
        <f t="shared" si="10"/>
        <v>373106.23438846134</v>
      </c>
    </row>
    <row r="148" spans="1:16" s="105" customFormat="1">
      <c r="B148" s="115">
        <f>+B147+1</f>
        <v>83</v>
      </c>
      <c r="C148" s="114"/>
      <c r="D148" s="155" t="s">
        <v>425</v>
      </c>
      <c r="E148" s="306" t="s">
        <v>424</v>
      </c>
      <c r="F148" s="131"/>
      <c r="G148" s="154">
        <f>+'[4]OKT Historic TCOS'!G161</f>
        <v>0</v>
      </c>
      <c r="H148" s="154"/>
      <c r="I148" s="175" t="s">
        <v>262</v>
      </c>
      <c r="J148" s="214">
        <f>VLOOKUP(I148,PSO_TU_Allocators,2,FALSE)</f>
        <v>0.95418251235664331</v>
      </c>
      <c r="K148" s="131"/>
      <c r="L148" s="154">
        <f>+J148*G148</f>
        <v>0</v>
      </c>
      <c r="M148" s="304"/>
      <c r="N148" s="209">
        <v>0</v>
      </c>
      <c r="O148" s="269"/>
      <c r="P148" s="209">
        <f t="shared" si="10"/>
        <v>0</v>
      </c>
    </row>
    <row r="149" spans="1:16" s="105" customFormat="1">
      <c r="B149" s="115" t="s">
        <v>423</v>
      </c>
      <c r="C149" s="114"/>
      <c r="D149" s="307" t="s">
        <v>422</v>
      </c>
      <c r="E149" s="131" t="str">
        <f>"(Worksheet A ln "&amp;'[4]OKT WS A RB Support '!A90&amp;".E)"</f>
        <v>(Worksheet A ln 37.E)</v>
      </c>
      <c r="F149" s="306"/>
      <c r="G149" s="154">
        <f>+'[4]OKT WS A RB Support '!G88</f>
        <v>0</v>
      </c>
      <c r="H149" s="154"/>
      <c r="I149" s="175" t="s">
        <v>269</v>
      </c>
      <c r="J149" s="214">
        <v>1</v>
      </c>
      <c r="K149" s="131"/>
      <c r="L149" s="154">
        <f>J149*G149</f>
        <v>0</v>
      </c>
      <c r="M149" s="304"/>
      <c r="N149" s="209">
        <v>0</v>
      </c>
      <c r="O149" s="269"/>
      <c r="P149" s="209">
        <f t="shared" si="10"/>
        <v>0</v>
      </c>
    </row>
    <row r="150" spans="1:16" s="105" customFormat="1" ht="15.75" thickBot="1">
      <c r="B150" s="115">
        <f>+B148+1</f>
        <v>84</v>
      </c>
      <c r="C150" s="114"/>
      <c r="D150" s="155" t="s">
        <v>421</v>
      </c>
      <c r="E150" s="306" t="s">
        <v>420</v>
      </c>
      <c r="F150" s="131"/>
      <c r="G150" s="163">
        <f>+'[4]OKT Historic TCOS'!G162</f>
        <v>391955</v>
      </c>
      <c r="H150" s="154"/>
      <c r="I150" s="175" t="s">
        <v>262</v>
      </c>
      <c r="J150" s="214">
        <f>VLOOKUP(I150,PSO_TU_Allocators,2,FALSE)</f>
        <v>0.95418251235664331</v>
      </c>
      <c r="K150" s="131"/>
      <c r="L150" s="163">
        <f>+J150*G150</f>
        <v>373996.60663074814</v>
      </c>
      <c r="M150" s="304"/>
      <c r="N150" s="211">
        <v>391955</v>
      </c>
      <c r="O150" s="269"/>
      <c r="P150" s="211">
        <f t="shared" si="10"/>
        <v>17958.393369251862</v>
      </c>
    </row>
    <row r="151" spans="1:16" s="105" customFormat="1">
      <c r="B151" s="115">
        <f>+B150+1</f>
        <v>85</v>
      </c>
      <c r="C151" s="114"/>
      <c r="D151" s="155" t="s">
        <v>419</v>
      </c>
      <c r="E151" s="305" t="str">
        <f>"(sum lns "&amp;B147&amp;" to "&amp;B150&amp;")"</f>
        <v>(sum lns 82 to 84)</v>
      </c>
      <c r="F151" s="131"/>
      <c r="G151" s="154">
        <f>SUM(G147:G150)</f>
        <v>8535270</v>
      </c>
      <c r="H151" s="131"/>
      <c r="I151" s="175"/>
      <c r="J151" s="131"/>
      <c r="K151" s="131"/>
      <c r="L151" s="154">
        <f>SUM(L147:L150)</f>
        <v>8144205.3722422868</v>
      </c>
      <c r="M151" s="304"/>
      <c r="N151" s="209">
        <v>8535270</v>
      </c>
      <c r="O151" s="269"/>
      <c r="P151" s="209">
        <f t="shared" si="10"/>
        <v>391064.6277577132</v>
      </c>
    </row>
    <row r="152" spans="1:16">
      <c r="B152" s="134"/>
      <c r="C152" s="133"/>
      <c r="D152" s="205"/>
      <c r="E152" s="303"/>
      <c r="F152" s="139"/>
      <c r="G152" s="210"/>
      <c r="H152" s="131"/>
      <c r="I152" s="204"/>
      <c r="J152" s="139"/>
      <c r="K152" s="139"/>
      <c r="L152" s="210"/>
      <c r="M152" s="108"/>
      <c r="N152" s="209"/>
      <c r="O152" s="269"/>
      <c r="P152" s="209" t="str">
        <f t="shared" si="10"/>
        <v/>
      </c>
    </row>
    <row r="153" spans="1:16">
      <c r="B153" s="134">
        <f>+B151+1</f>
        <v>86</v>
      </c>
      <c r="C153" s="133"/>
      <c r="D153" s="205" t="s">
        <v>418</v>
      </c>
      <c r="E153" s="120" t="s">
        <v>417</v>
      </c>
      <c r="F153" s="192"/>
      <c r="G153" s="210"/>
      <c r="H153" s="131"/>
      <c r="I153" s="204"/>
      <c r="J153" s="139"/>
      <c r="K153" s="139"/>
      <c r="L153" s="210"/>
      <c r="M153" s="108"/>
      <c r="N153" s="209"/>
      <c r="O153" s="269"/>
      <c r="P153" s="209" t="str">
        <f t="shared" si="10"/>
        <v/>
      </c>
    </row>
    <row r="154" spans="1:16">
      <c r="B154" s="134">
        <f t="shared" ref="B154:B160" si="13">+B153+1</f>
        <v>87</v>
      </c>
      <c r="C154" s="133"/>
      <c r="D154" s="205" t="s">
        <v>416</v>
      </c>
      <c r="E154" s="192"/>
      <c r="F154" s="192"/>
      <c r="G154" s="210"/>
      <c r="H154" s="131"/>
      <c r="I154" s="204"/>
      <c r="J154" s="192"/>
      <c r="K154" s="139"/>
      <c r="L154" s="210"/>
      <c r="M154" s="108"/>
      <c r="N154" s="209"/>
      <c r="O154" s="269"/>
      <c r="P154" s="209" t="str">
        <f t="shared" si="10"/>
        <v/>
      </c>
    </row>
    <row r="155" spans="1:16">
      <c r="B155" s="134">
        <f t="shared" si="13"/>
        <v>88</v>
      </c>
      <c r="C155" s="133"/>
      <c r="D155" s="205" t="s">
        <v>415</v>
      </c>
      <c r="E155" s="131" t="s">
        <v>414</v>
      </c>
      <c r="F155" s="131"/>
      <c r="G155" s="154">
        <f>+'[4]OKT WS L Other Taxes'!I46</f>
        <v>0</v>
      </c>
      <c r="H155" s="154"/>
      <c r="I155" s="204" t="s">
        <v>262</v>
      </c>
      <c r="J155" s="214">
        <f>VLOOKUP(I155,PSO_TU_Allocators,2,FALSE)</f>
        <v>0.95418251235664331</v>
      </c>
      <c r="K155" s="139"/>
      <c r="L155" s="210">
        <f>+J155*G155</f>
        <v>0</v>
      </c>
      <c r="M155" s="108"/>
      <c r="N155" s="209">
        <v>0</v>
      </c>
      <c r="O155" s="269"/>
      <c r="P155" s="209">
        <f t="shared" si="10"/>
        <v>0</v>
      </c>
    </row>
    <row r="156" spans="1:16">
      <c r="B156" s="134">
        <f t="shared" si="13"/>
        <v>89</v>
      </c>
      <c r="C156" s="133"/>
      <c r="D156" s="205" t="s">
        <v>413</v>
      </c>
      <c r="E156" s="131" t="s">
        <v>288</v>
      </c>
      <c r="F156" s="131"/>
      <c r="G156" s="154"/>
      <c r="H156" s="154"/>
      <c r="I156" s="204"/>
      <c r="J156" s="192"/>
      <c r="K156" s="139"/>
      <c r="L156" s="210"/>
      <c r="M156" s="108"/>
      <c r="N156" s="209"/>
      <c r="O156" s="269"/>
      <c r="P156" s="209" t="str">
        <f t="shared" ref="P156:P187" si="14">IF(N156="","",N156-L156)</f>
        <v/>
      </c>
    </row>
    <row r="157" spans="1:16">
      <c r="A157" s="105"/>
      <c r="B157" s="115">
        <f t="shared" si="13"/>
        <v>90</v>
      </c>
      <c r="C157" s="114"/>
      <c r="D157" s="155" t="s">
        <v>412</v>
      </c>
      <c r="E157" s="131" t="s">
        <v>411</v>
      </c>
      <c r="F157" s="131"/>
      <c r="G157" s="154">
        <f>+'[4]OKT WS L Other Taxes'!G46</f>
        <v>4142000</v>
      </c>
      <c r="H157" s="154"/>
      <c r="I157" s="175" t="s">
        <v>268</v>
      </c>
      <c r="J157" s="214">
        <f>VLOOKUP(I157,PSO_TU_Allocators,2,FALSE)</f>
        <v>0.95418251235664331</v>
      </c>
      <c r="K157" s="131"/>
      <c r="L157" s="154">
        <f>+G157*J157</f>
        <v>3952223.9661812168</v>
      </c>
      <c r="M157" s="108"/>
      <c r="N157" s="209">
        <v>4142000</v>
      </c>
      <c r="O157" s="269"/>
      <c r="P157" s="209">
        <f t="shared" si="14"/>
        <v>189776.03381878324</v>
      </c>
    </row>
    <row r="158" spans="1:16">
      <c r="B158" s="134">
        <f t="shared" si="13"/>
        <v>91</v>
      </c>
      <c r="C158" s="133"/>
      <c r="D158" s="205" t="s">
        <v>410</v>
      </c>
      <c r="E158" s="131" t="s">
        <v>409</v>
      </c>
      <c r="F158" s="131"/>
      <c r="G158" s="154">
        <f>+'[4]OKT WS L Other Taxes'!M46</f>
        <v>0</v>
      </c>
      <c r="H158" s="143"/>
      <c r="I158" s="204" t="s">
        <v>266</v>
      </c>
      <c r="J158" s="214">
        <f>VLOOKUP(I158,PSO_TU_Allocators,2,FALSE)</f>
        <v>0</v>
      </c>
      <c r="K158" s="139"/>
      <c r="L158" s="210">
        <f>+J158*G158</f>
        <v>0</v>
      </c>
      <c r="M158" s="108"/>
      <c r="N158" s="209">
        <v>0</v>
      </c>
      <c r="O158" s="269"/>
      <c r="P158" s="209">
        <f t="shared" si="14"/>
        <v>0</v>
      </c>
    </row>
    <row r="159" spans="1:16" ht="15.75" thickBot="1">
      <c r="B159" s="134">
        <f t="shared" si="13"/>
        <v>92</v>
      </c>
      <c r="C159" s="133"/>
      <c r="D159" s="205" t="s">
        <v>408</v>
      </c>
      <c r="E159" s="131" t="s">
        <v>407</v>
      </c>
      <c r="F159" s="131"/>
      <c r="G159" s="163">
        <f>+'[4]OKT WS L Other Taxes'!K46</f>
        <v>20373</v>
      </c>
      <c r="H159" s="143"/>
      <c r="I159" s="204" t="s">
        <v>268</v>
      </c>
      <c r="J159" s="214">
        <f>VLOOKUP(I159,PSO_TU_Allocators,2,FALSE)</f>
        <v>0.95418251235664331</v>
      </c>
      <c r="K159" s="139"/>
      <c r="L159" s="212">
        <f>+J159*G159</f>
        <v>19439.560324241895</v>
      </c>
      <c r="M159" s="108"/>
      <c r="N159" s="211">
        <v>20373</v>
      </c>
      <c r="O159" s="269"/>
      <c r="P159" s="211">
        <f t="shared" si="14"/>
        <v>933.4396757581053</v>
      </c>
    </row>
    <row r="160" spans="1:16">
      <c r="B160" s="134">
        <f t="shared" si="13"/>
        <v>93</v>
      </c>
      <c r="C160" s="133"/>
      <c r="D160" s="205" t="s">
        <v>406</v>
      </c>
      <c r="E160" s="303" t="str">
        <f>"(sum lns "&amp;B155&amp;" to "&amp;B159&amp;")"</f>
        <v>(sum lns 88 to 92)</v>
      </c>
      <c r="F160" s="139"/>
      <c r="G160" s="154">
        <f>SUM(G155:G159)</f>
        <v>4162373</v>
      </c>
      <c r="H160" s="131"/>
      <c r="I160" s="204"/>
      <c r="J160" s="270"/>
      <c r="K160" s="139"/>
      <c r="L160" s="210">
        <f>SUM(L155:L159)</f>
        <v>3971663.5265054586</v>
      </c>
      <c r="M160" s="108"/>
      <c r="N160" s="209">
        <v>4162373</v>
      </c>
      <c r="O160" s="269"/>
      <c r="P160" s="209">
        <f t="shared" si="14"/>
        <v>190709.47349454137</v>
      </c>
    </row>
    <row r="161" spans="2:16">
      <c r="B161" s="134"/>
      <c r="C161" s="133"/>
      <c r="D161" s="205"/>
      <c r="E161" s="139"/>
      <c r="F161" s="139"/>
      <c r="G161" s="139"/>
      <c r="H161" s="131"/>
      <c r="I161" s="204"/>
      <c r="J161" s="270"/>
      <c r="K161" s="139"/>
      <c r="L161" s="139"/>
      <c r="M161" s="108"/>
      <c r="N161" s="174"/>
      <c r="O161" s="269"/>
      <c r="P161" s="174" t="str">
        <f t="shared" si="14"/>
        <v/>
      </c>
    </row>
    <row r="162" spans="2:16">
      <c r="B162" s="134">
        <f>+B160+1</f>
        <v>94</v>
      </c>
      <c r="C162" s="133"/>
      <c r="D162" s="205" t="s">
        <v>405</v>
      </c>
      <c r="E162" s="131" t="s">
        <v>404</v>
      </c>
      <c r="F162" s="286"/>
      <c r="G162" s="139"/>
      <c r="H162" s="108"/>
      <c r="I162" s="140"/>
      <c r="J162" s="192"/>
      <c r="K162" s="139"/>
      <c r="L162" s="281"/>
      <c r="M162" s="108"/>
      <c r="N162" s="280"/>
      <c r="O162" s="269"/>
      <c r="P162" s="280" t="str">
        <f t="shared" si="14"/>
        <v/>
      </c>
    </row>
    <row r="163" spans="2:16">
      <c r="B163" s="134">
        <f t="shared" ref="B163:B168" si="15">+B162+1</f>
        <v>95</v>
      </c>
      <c r="C163" s="133"/>
      <c r="D163" s="261" t="s">
        <v>403</v>
      </c>
      <c r="E163" s="293"/>
      <c r="F163" s="296"/>
      <c r="G163" s="302">
        <f>IF(F313&gt;0,1-(((1-F314)*(1-F313))/(1-F314*F313*F315)),0)</f>
        <v>0.38678999999999997</v>
      </c>
      <c r="H163" s="301"/>
      <c r="I163" s="295"/>
      <c r="J163" s="301"/>
      <c r="K163" s="293"/>
      <c r="L163" s="281"/>
      <c r="M163" s="108"/>
      <c r="N163" s="280"/>
      <c r="O163" s="269"/>
      <c r="P163" s="280" t="str">
        <f t="shared" si="14"/>
        <v/>
      </c>
    </row>
    <row r="164" spans="2:16">
      <c r="B164" s="134">
        <f t="shared" si="15"/>
        <v>96</v>
      </c>
      <c r="C164" s="133"/>
      <c r="D164" s="276" t="s">
        <v>402</v>
      </c>
      <c r="E164" s="293"/>
      <c r="F164" s="296"/>
      <c r="G164" s="302">
        <f>IF(L244&gt;0,($G163/(1-$G163))*(1-$L225/$L228),0)</f>
        <v>0.45904078375692192</v>
      </c>
      <c r="H164" s="301"/>
      <c r="I164" s="295"/>
      <c r="J164" s="281"/>
      <c r="K164" s="293"/>
      <c r="L164" s="281"/>
      <c r="M164" s="108"/>
      <c r="N164" s="280"/>
      <c r="O164" s="269"/>
      <c r="P164" s="280" t="str">
        <f t="shared" si="14"/>
        <v/>
      </c>
    </row>
    <row r="165" spans="2:16">
      <c r="B165" s="134">
        <f t="shared" si="15"/>
        <v>97</v>
      </c>
      <c r="C165" s="133"/>
      <c r="D165" s="155" t="str">
        <f>"       where WCLTD=(ln "&amp;B225&amp;") and WACC = (ln "&amp;B228&amp;")"</f>
        <v xml:space="preserve">       where WCLTD=(ln 133) and WACC = (ln 136)</v>
      </c>
      <c r="E165" s="300"/>
      <c r="F165" s="299"/>
      <c r="G165" s="139"/>
      <c r="H165" s="108"/>
      <c r="I165" s="295"/>
      <c r="J165" s="294"/>
      <c r="K165" s="293"/>
      <c r="L165" s="277"/>
      <c r="M165" s="108"/>
      <c r="N165" s="298"/>
      <c r="O165" s="269"/>
      <c r="P165" s="298" t="str">
        <f t="shared" si="14"/>
        <v/>
      </c>
    </row>
    <row r="166" spans="2:16">
      <c r="B166" s="134">
        <f t="shared" si="15"/>
        <v>98</v>
      </c>
      <c r="C166" s="133"/>
      <c r="D166" s="205" t="s">
        <v>401</v>
      </c>
      <c r="E166" s="297"/>
      <c r="F166" s="296"/>
      <c r="G166" s="139"/>
      <c r="H166" s="108"/>
      <c r="I166" s="295"/>
      <c r="J166" s="294"/>
      <c r="K166" s="293"/>
      <c r="L166" s="281"/>
      <c r="M166" s="108"/>
      <c r="N166" s="280"/>
      <c r="O166" s="269"/>
      <c r="P166" s="280" t="str">
        <f t="shared" si="14"/>
        <v/>
      </c>
    </row>
    <row r="167" spans="2:16">
      <c r="B167" s="134">
        <f t="shared" si="15"/>
        <v>99</v>
      </c>
      <c r="C167" s="133"/>
      <c r="D167" s="268" t="str">
        <f>"      GRCF=1 / (1 - T)  = (from ln "&amp;B163&amp;")"</f>
        <v xml:space="preserve">      GRCF=1 / (1 - T)  = (from ln 95)</v>
      </c>
      <c r="E167" s="292"/>
      <c r="F167" s="286"/>
      <c r="G167" s="291">
        <f>IF(G163&gt;0,1/(1-G163),0)</f>
        <v>1.6307627077183997</v>
      </c>
      <c r="H167" s="108"/>
      <c r="I167" s="278"/>
      <c r="J167" s="290"/>
      <c r="K167" s="265"/>
      <c r="L167" s="289"/>
      <c r="M167" s="108"/>
      <c r="N167" s="288"/>
      <c r="O167" s="269"/>
      <c r="P167" s="288" t="str">
        <f t="shared" si="14"/>
        <v/>
      </c>
    </row>
    <row r="168" spans="2:16">
      <c r="B168" s="134">
        <f t="shared" si="15"/>
        <v>100</v>
      </c>
      <c r="C168" s="133"/>
      <c r="D168" s="205" t="s">
        <v>400</v>
      </c>
      <c r="E168" s="287" t="s">
        <v>399</v>
      </c>
      <c r="F168" s="286"/>
      <c r="G168" s="154">
        <f>+'[4]OKT Historic TCOS'!G180</f>
        <v>0</v>
      </c>
      <c r="H168" s="108"/>
      <c r="I168" s="278"/>
      <c r="J168" s="285"/>
      <c r="K168" s="265"/>
      <c r="L168" s="284"/>
      <c r="M168" s="108"/>
      <c r="N168" s="263"/>
      <c r="O168" s="269"/>
      <c r="P168" s="263" t="str">
        <f t="shared" si="14"/>
        <v/>
      </c>
    </row>
    <row r="169" spans="2:16">
      <c r="B169" s="134"/>
      <c r="C169" s="133"/>
      <c r="D169" s="205"/>
      <c r="E169" s="283"/>
      <c r="F169" s="282"/>
      <c r="G169" s="210"/>
      <c r="H169" s="108"/>
      <c r="I169" s="278"/>
      <c r="J169" s="277"/>
      <c r="K169" s="265"/>
      <c r="L169" s="281"/>
      <c r="M169" s="108"/>
      <c r="N169" s="280"/>
      <c r="O169" s="269"/>
      <c r="P169" s="280" t="str">
        <f t="shared" si="14"/>
        <v/>
      </c>
    </row>
    <row r="170" spans="2:16">
      <c r="B170" s="134">
        <f>+B168+1</f>
        <v>101</v>
      </c>
      <c r="C170" s="133"/>
      <c r="D170" s="261" t="s">
        <v>398</v>
      </c>
      <c r="E170" s="274" t="str">
        <f>"(ln "&amp;B164&amp;" * ln "&amp;B174&amp;")"</f>
        <v>(ln 96 * ln 104)</v>
      </c>
      <c r="F170" s="279"/>
      <c r="G170" s="210">
        <f>+G164*G174</f>
        <v>10742278.278857706</v>
      </c>
      <c r="H170" s="108"/>
      <c r="I170" s="278"/>
      <c r="J170" s="277"/>
      <c r="K170" s="210"/>
      <c r="L170" s="210">
        <f>+L174*G164</f>
        <v>10002368.661860045</v>
      </c>
      <c r="M170" s="108"/>
      <c r="N170" s="209">
        <v>10497528.58630744</v>
      </c>
      <c r="O170" s="269"/>
      <c r="P170" s="209">
        <f t="shared" si="14"/>
        <v>495159.92444739491</v>
      </c>
    </row>
    <row r="171" spans="2:16" ht="15.75" thickBot="1">
      <c r="B171" s="134">
        <f>+B170+1</f>
        <v>102</v>
      </c>
      <c r="C171" s="133"/>
      <c r="D171" s="276" t="s">
        <v>397</v>
      </c>
      <c r="E171" s="274" t="str">
        <f>"(ln "&amp;B167&amp;" * ln "&amp;B168&amp;")"</f>
        <v>(ln 99 * ln 100)</v>
      </c>
      <c r="F171" s="274"/>
      <c r="G171" s="212">
        <f>G167*G168</f>
        <v>0</v>
      </c>
      <c r="H171" s="108"/>
      <c r="I171" s="275" t="s">
        <v>265</v>
      </c>
      <c r="J171" s="214">
        <f>VLOOKUP(I171,PSO_TU_Allocators,2,FALSE)</f>
        <v>0.95263556963121487</v>
      </c>
      <c r="K171" s="210"/>
      <c r="L171" s="212">
        <f>+G171*J171</f>
        <v>0</v>
      </c>
      <c r="M171" s="108"/>
      <c r="N171" s="211">
        <v>0</v>
      </c>
      <c r="O171" s="269"/>
      <c r="P171" s="211">
        <f t="shared" si="14"/>
        <v>0</v>
      </c>
    </row>
    <row r="172" spans="2:16">
      <c r="B172" s="134">
        <f>+B171+1</f>
        <v>103</v>
      </c>
      <c r="C172" s="133"/>
      <c r="D172" s="261" t="s">
        <v>396</v>
      </c>
      <c r="E172" s="139" t="str">
        <f>"(sum lns "&amp;B170&amp;" to "&amp;B171&amp;")"</f>
        <v>(sum lns 101 to 102)</v>
      </c>
      <c r="F172" s="274"/>
      <c r="G172" s="272">
        <f>SUM(G170:G171)</f>
        <v>10742278.278857706</v>
      </c>
      <c r="H172" s="108"/>
      <c r="I172" s="255" t="s">
        <v>288</v>
      </c>
      <c r="J172" s="273"/>
      <c r="K172" s="210"/>
      <c r="L172" s="272">
        <f>SUM(L170:L171)</f>
        <v>10002368.661860045</v>
      </c>
      <c r="M172" s="108"/>
      <c r="N172" s="271">
        <v>10497528.58630744</v>
      </c>
      <c r="O172" s="269"/>
      <c r="P172" s="271">
        <f t="shared" si="14"/>
        <v>495159.92444739491</v>
      </c>
    </row>
    <row r="173" spans="2:16">
      <c r="B173" s="134"/>
      <c r="C173" s="133"/>
      <c r="D173" s="205"/>
      <c r="E173" s="139"/>
      <c r="F173" s="139"/>
      <c r="G173" s="139"/>
      <c r="H173" s="131"/>
      <c r="I173" s="204"/>
      <c r="J173" s="270"/>
      <c r="K173" s="139"/>
      <c r="L173" s="139"/>
      <c r="M173" s="108"/>
      <c r="N173" s="174"/>
      <c r="O173" s="269"/>
      <c r="P173" s="174" t="str">
        <f t="shared" si="14"/>
        <v/>
      </c>
    </row>
    <row r="174" spans="2:16">
      <c r="B174" s="134">
        <f>+B172+1</f>
        <v>104</v>
      </c>
      <c r="C174" s="133"/>
      <c r="D174" s="268" t="s">
        <v>395</v>
      </c>
      <c r="E174" s="268" t="str">
        <f>"(ln "&amp;B111&amp;" * ln "&amp;B228&amp;")"</f>
        <v>(ln 63 * ln 136)</v>
      </c>
      <c r="F174" s="267"/>
      <c r="G174" s="266">
        <f>+$L228*G111</f>
        <v>23401577.068904005</v>
      </c>
      <c r="H174" s="131"/>
      <c r="I174" s="255"/>
      <c r="J174" s="265"/>
      <c r="K174" s="210"/>
      <c r="L174" s="264">
        <f>+L228*L111</f>
        <v>21789716.765464239</v>
      </c>
      <c r="M174" s="108"/>
      <c r="N174" s="262">
        <v>22868400.712443553</v>
      </c>
      <c r="O174" s="263"/>
      <c r="P174" s="262">
        <f t="shared" si="14"/>
        <v>1078683.9469793141</v>
      </c>
    </row>
    <row r="175" spans="2:16">
      <c r="B175" s="134"/>
      <c r="C175" s="133"/>
      <c r="D175" s="261"/>
      <c r="E175" s="192"/>
      <c r="F175" s="192"/>
      <c r="G175" s="210"/>
      <c r="H175" s="210"/>
      <c r="I175" s="255"/>
      <c r="J175" s="255"/>
      <c r="K175" s="210"/>
      <c r="L175" s="210"/>
      <c r="M175" s="108"/>
      <c r="N175" s="209"/>
      <c r="O175" s="151"/>
      <c r="P175" s="209" t="str">
        <f t="shared" si="14"/>
        <v/>
      </c>
    </row>
    <row r="176" spans="2:16">
      <c r="B176" s="134">
        <f>+B174+1</f>
        <v>105</v>
      </c>
      <c r="C176" s="133"/>
      <c r="D176" s="260" t="s">
        <v>394</v>
      </c>
      <c r="E176" s="192"/>
      <c r="F176" s="259"/>
      <c r="G176" s="154">
        <f>'[4]OKT WS E IPP Credits'!C11</f>
        <v>0</v>
      </c>
      <c r="H176" s="154"/>
      <c r="I176" s="258" t="s">
        <v>269</v>
      </c>
      <c r="J176" s="214">
        <f>VLOOKUP(I176,PSO_TU_Allocators,2,FALSE)</f>
        <v>1</v>
      </c>
      <c r="K176" s="257"/>
      <c r="L176" s="210">
        <f>+J176*G176</f>
        <v>0</v>
      </c>
      <c r="M176" s="108"/>
      <c r="N176" s="209">
        <v>0</v>
      </c>
      <c r="O176" s="151"/>
      <c r="P176" s="209">
        <f t="shared" si="14"/>
        <v>0</v>
      </c>
    </row>
    <row r="177" spans="2:16" ht="15.75" thickBot="1">
      <c r="B177" s="134"/>
      <c r="C177" s="133"/>
      <c r="D177" s="205"/>
      <c r="E177" s="192"/>
      <c r="F177" s="192"/>
      <c r="G177" s="212"/>
      <c r="H177" s="256"/>
      <c r="I177" s="255"/>
      <c r="J177" s="255"/>
      <c r="K177" s="210"/>
      <c r="L177" s="212"/>
      <c r="M177" s="108"/>
      <c r="N177" s="211"/>
      <c r="O177" s="151"/>
      <c r="P177" s="211" t="str">
        <f t="shared" si="14"/>
        <v/>
      </c>
    </row>
    <row r="178" spans="2:16" ht="15.75" thickBot="1">
      <c r="B178" s="134">
        <f>+B176+1</f>
        <v>106</v>
      </c>
      <c r="C178" s="133"/>
      <c r="D178" s="135" t="s">
        <v>393</v>
      </c>
      <c r="E178" s="251"/>
      <c r="F178" s="251"/>
      <c r="G178" s="254">
        <f>G144+G151+G160+G172+G174+G176</f>
        <v>51064988.060117185</v>
      </c>
      <c r="H178" s="210"/>
      <c r="I178" s="255"/>
      <c r="J178" s="248"/>
      <c r="K178" s="210"/>
      <c r="L178" s="254">
        <f>L144+L151+L160+L172+L174+L176</f>
        <v>47944803.799280524</v>
      </c>
      <c r="M178" s="108"/>
      <c r="N178" s="253">
        <v>50287062.011106469</v>
      </c>
      <c r="O178" s="151"/>
      <c r="P178" s="253">
        <f t="shared" si="14"/>
        <v>2342258.2118259445</v>
      </c>
    </row>
    <row r="179" spans="2:16" ht="15.75" thickTop="1">
      <c r="B179" s="134">
        <f>+B178+1</f>
        <v>107</v>
      </c>
      <c r="C179" s="133"/>
      <c r="D179" s="119" t="str">
        <f>"    (sum lns "&amp;B144&amp;", "&amp;B151&amp;", "&amp;B160&amp;", "&amp;B172&amp;", "&amp;B174&amp;", "&amp;B176&amp;")"</f>
        <v xml:space="preserve">    (sum lns 80, 85, 93, 103, 104, 105)</v>
      </c>
      <c r="E179" s="251"/>
      <c r="F179" s="251"/>
      <c r="G179" s="252"/>
      <c r="H179" s="210"/>
      <c r="I179" s="210"/>
      <c r="J179" s="248"/>
      <c r="K179" s="210"/>
      <c r="L179" s="252"/>
      <c r="M179" s="108"/>
      <c r="N179" s="236"/>
      <c r="O179" s="151"/>
      <c r="P179" s="236" t="str">
        <f t="shared" si="14"/>
        <v/>
      </c>
    </row>
    <row r="180" spans="2:16">
      <c r="B180" s="134"/>
      <c r="C180" s="133"/>
      <c r="D180" s="135"/>
      <c r="E180" s="251"/>
      <c r="F180" s="251"/>
      <c r="G180" s="252"/>
      <c r="H180" s="210"/>
      <c r="I180" s="210"/>
      <c r="J180" s="248"/>
      <c r="K180" s="210"/>
      <c r="L180" s="252"/>
      <c r="M180" s="108"/>
      <c r="N180" s="236"/>
      <c r="O180" s="151"/>
      <c r="P180" s="236" t="str">
        <f t="shared" si="14"/>
        <v/>
      </c>
    </row>
    <row r="181" spans="2:16">
      <c r="B181" s="134">
        <f>+B179+1</f>
        <v>108</v>
      </c>
      <c r="C181" s="133"/>
      <c r="D181" s="135" t="s">
        <v>392</v>
      </c>
      <c r="F181" s="251"/>
      <c r="G181" s="201">
        <f>+'[4]OKT WS K State Taxes'!Q41</f>
        <v>0</v>
      </c>
      <c r="H181" s="210"/>
      <c r="I181" s="210" t="s">
        <v>269</v>
      </c>
      <c r="J181" s="248"/>
      <c r="K181" s="210"/>
      <c r="L181" s="201">
        <f>+'[4]OKT WS K State Taxes'!S41</f>
        <v>0</v>
      </c>
      <c r="M181" s="108"/>
      <c r="N181" s="200">
        <v>0</v>
      </c>
      <c r="O181" s="151"/>
      <c r="P181" s="200">
        <f t="shared" si="14"/>
        <v>0</v>
      </c>
    </row>
    <row r="182" spans="2:16" ht="15.75">
      <c r="B182" s="134"/>
      <c r="C182" s="108"/>
      <c r="D182" s="108"/>
      <c r="E182" s="108"/>
      <c r="F182" s="108"/>
      <c r="G182" s="108"/>
      <c r="H182" s="108"/>
      <c r="I182" s="249"/>
      <c r="J182" s="250"/>
      <c r="K182" s="249"/>
      <c r="L182" s="120"/>
      <c r="M182" s="108"/>
      <c r="N182" s="242"/>
      <c r="O182" s="151"/>
      <c r="P182" s="242" t="str">
        <f t="shared" si="14"/>
        <v/>
      </c>
    </row>
    <row r="183" spans="2:16" ht="15.75" thickBot="1">
      <c r="B183" s="134">
        <f>+B181+1</f>
        <v>109</v>
      </c>
      <c r="C183" s="133"/>
      <c r="D183" s="192" t="s">
        <v>391</v>
      </c>
      <c r="E183" s="192"/>
      <c r="F183" s="192"/>
      <c r="G183" s="247">
        <f>+G178+G181</f>
        <v>51064988.060117185</v>
      </c>
      <c r="H183" s="192"/>
      <c r="I183" s="192"/>
      <c r="J183" s="248"/>
      <c r="K183" s="192"/>
      <c r="L183" s="247">
        <f>+L178+L181</f>
        <v>47944803.799280524</v>
      </c>
      <c r="M183" s="108"/>
      <c r="N183" s="246">
        <v>50287062.011106469</v>
      </c>
      <c r="O183" s="151"/>
      <c r="P183" s="246">
        <f t="shared" si="14"/>
        <v>2342258.2118259445</v>
      </c>
    </row>
    <row r="184" spans="2:16" ht="15.75" thickTop="1">
      <c r="B184" s="134"/>
      <c r="C184" s="133"/>
      <c r="D184" s="135"/>
      <c r="E184" s="192"/>
      <c r="F184" s="194"/>
      <c r="G184" s="192"/>
      <c r="H184" s="192"/>
      <c r="I184" s="192"/>
      <c r="J184" s="192"/>
      <c r="K184" s="192"/>
      <c r="L184" s="192"/>
      <c r="M184" s="108"/>
      <c r="N184" s="242"/>
      <c r="O184" s="151"/>
      <c r="P184" s="242" t="str">
        <f t="shared" si="14"/>
        <v/>
      </c>
    </row>
    <row r="185" spans="2:16">
      <c r="B185" s="134"/>
      <c r="C185" s="133"/>
      <c r="D185" s="192"/>
      <c r="E185" s="192"/>
      <c r="F185" s="194"/>
      <c r="G185" s="192"/>
      <c r="H185" s="192"/>
      <c r="I185" s="192"/>
      <c r="J185" s="192"/>
      <c r="K185" s="192"/>
      <c r="L185" s="192"/>
      <c r="M185" s="108"/>
      <c r="N185" s="242"/>
      <c r="O185" s="151"/>
      <c r="P185" s="242" t="str">
        <f t="shared" si="14"/>
        <v/>
      </c>
    </row>
    <row r="186" spans="2:16">
      <c r="B186" s="134"/>
      <c r="C186" s="133"/>
      <c r="D186" s="135"/>
      <c r="E186" s="192"/>
      <c r="F186" s="140" t="str">
        <f>F114</f>
        <v xml:space="preserve">AEP West SPP Member Companies </v>
      </c>
      <c r="G186" s="192"/>
      <c r="H186" s="192"/>
      <c r="I186" s="192"/>
      <c r="J186" s="192"/>
      <c r="K186" s="192"/>
      <c r="L186" s="192"/>
      <c r="M186" s="108"/>
      <c r="N186" s="242"/>
      <c r="O186" s="151"/>
      <c r="P186" s="242" t="str">
        <f t="shared" si="14"/>
        <v/>
      </c>
    </row>
    <row r="187" spans="2:16">
      <c r="B187" s="134"/>
      <c r="C187" s="133"/>
      <c r="D187" s="135"/>
      <c r="E187" s="192"/>
      <c r="F187" s="140" t="str">
        <f>F115</f>
        <v>Transmission Cost of Service Formula Rate</v>
      </c>
      <c r="G187" s="192"/>
      <c r="H187" s="192"/>
      <c r="I187" s="192"/>
      <c r="J187" s="192"/>
      <c r="K187" s="192"/>
      <c r="L187" s="192"/>
      <c r="M187" s="108"/>
      <c r="N187" s="242"/>
      <c r="O187" s="151"/>
      <c r="P187" s="242" t="str">
        <f t="shared" si="14"/>
        <v/>
      </c>
    </row>
    <row r="188" spans="2:16">
      <c r="B188" s="192"/>
      <c r="C188" s="133"/>
      <c r="D188" s="192"/>
      <c r="E188" s="192"/>
      <c r="F188" s="140" t="str">
        <f>F116</f>
        <v>Utilizing Actual Cost Data for 2015 with Average Ratebase Balances</v>
      </c>
      <c r="G188" s="192"/>
      <c r="H188" s="192"/>
      <c r="I188" s="192"/>
      <c r="J188" s="192"/>
      <c r="K188" s="192"/>
      <c r="M188" s="108"/>
      <c r="N188" s="151"/>
      <c r="O188" s="151"/>
      <c r="P188" s="151" t="str">
        <f t="shared" ref="P188:P213" si="16">IF(N188="","",N188-L188)</f>
        <v/>
      </c>
    </row>
    <row r="189" spans="2:16">
      <c r="B189" s="134"/>
      <c r="C189" s="133"/>
      <c r="E189" s="140"/>
      <c r="F189" s="140"/>
      <c r="G189" s="140"/>
      <c r="H189" s="140"/>
      <c r="I189" s="140"/>
      <c r="J189" s="140"/>
      <c r="K189" s="140"/>
      <c r="M189" s="108"/>
      <c r="N189" s="151"/>
      <c r="O189" s="151"/>
      <c r="P189" s="151" t="str">
        <f t="shared" si="16"/>
        <v/>
      </c>
    </row>
    <row r="190" spans="2:16">
      <c r="B190" s="134"/>
      <c r="C190" s="133"/>
      <c r="D190" s="192"/>
      <c r="E190" s="135"/>
      <c r="F190" s="140" t="str">
        <f>F118</f>
        <v>AEP OKLAHOMA TRANSMISSION COMPANY, INC</v>
      </c>
      <c r="G190" s="135"/>
      <c r="H190" s="135"/>
      <c r="I190" s="135"/>
      <c r="J190" s="135"/>
      <c r="K190" s="135"/>
      <c r="L190" s="135"/>
      <c r="M190" s="108"/>
      <c r="N190" s="245"/>
      <c r="O190" s="151"/>
      <c r="P190" s="245" t="str">
        <f t="shared" si="16"/>
        <v/>
      </c>
    </row>
    <row r="191" spans="2:16">
      <c r="B191" s="134"/>
      <c r="C191" s="133"/>
      <c r="D191" s="192"/>
      <c r="E191" s="135"/>
      <c r="F191" s="140"/>
      <c r="G191" s="210"/>
      <c r="H191" s="135"/>
      <c r="I191" s="135"/>
      <c r="J191" s="135"/>
      <c r="K191" s="135"/>
      <c r="L191" s="210"/>
      <c r="M191" s="108"/>
      <c r="N191" s="209"/>
      <c r="O191" s="151"/>
      <c r="P191" s="209" t="str">
        <f t="shared" si="16"/>
        <v/>
      </c>
    </row>
    <row r="192" spans="2:16" ht="15.75">
      <c r="B192" s="134"/>
      <c r="C192" s="133"/>
      <c r="D192" s="192"/>
      <c r="F192" s="141" t="s">
        <v>390</v>
      </c>
      <c r="G192" s="192"/>
      <c r="H192" s="138"/>
      <c r="I192" s="138"/>
      <c r="J192" s="138"/>
      <c r="K192" s="138"/>
      <c r="L192" s="138"/>
      <c r="M192" s="108"/>
      <c r="N192" s="221"/>
      <c r="O192" s="151"/>
      <c r="P192" s="221" t="str">
        <f t="shared" si="16"/>
        <v/>
      </c>
    </row>
    <row r="193" spans="2:16" ht="15.75">
      <c r="B193" s="134"/>
      <c r="C193" s="133"/>
      <c r="D193" s="244"/>
      <c r="E193" s="138"/>
      <c r="F193" s="138"/>
      <c r="G193" s="138"/>
      <c r="H193" s="138"/>
      <c r="I193" s="138"/>
      <c r="J193" s="138"/>
      <c r="K193" s="138"/>
      <c r="L193" s="138"/>
      <c r="M193" s="108"/>
      <c r="N193" s="221"/>
      <c r="O193" s="151"/>
      <c r="P193" s="221" t="str">
        <f t="shared" si="16"/>
        <v/>
      </c>
    </row>
    <row r="194" spans="2:16" ht="15.75">
      <c r="B194" s="134" t="s">
        <v>389</v>
      </c>
      <c r="C194" s="133"/>
      <c r="D194" s="244"/>
      <c r="E194" s="138"/>
      <c r="F194" s="138"/>
      <c r="G194" s="138"/>
      <c r="H194" s="138"/>
      <c r="I194" s="138"/>
      <c r="J194" s="138"/>
      <c r="K194" s="138"/>
      <c r="L194" s="138"/>
      <c r="M194" s="108"/>
      <c r="N194" s="221"/>
      <c r="O194" s="151"/>
      <c r="P194" s="221" t="str">
        <f t="shared" si="16"/>
        <v/>
      </c>
    </row>
    <row r="195" spans="2:16" ht="15.75" thickBot="1">
      <c r="B195" s="243" t="s">
        <v>388</v>
      </c>
      <c r="C195" s="132"/>
      <c r="D195" s="119" t="s">
        <v>387</v>
      </c>
      <c r="E195" s="125"/>
      <c r="F195" s="125"/>
      <c r="G195" s="125"/>
      <c r="H195" s="125"/>
      <c r="I195" s="125"/>
      <c r="J195" s="125"/>
      <c r="K195" s="120"/>
      <c r="L195" s="192"/>
      <c r="M195" s="108"/>
      <c r="N195" s="242"/>
      <c r="O195" s="151"/>
      <c r="P195" s="242" t="str">
        <f t="shared" si="16"/>
        <v/>
      </c>
    </row>
    <row r="196" spans="2:16">
      <c r="B196" s="134">
        <f>+B183+1</f>
        <v>110</v>
      </c>
      <c r="C196" s="133"/>
      <c r="D196" s="125" t="s">
        <v>386</v>
      </c>
      <c r="E196" s="241" t="str">
        <f>"(ln "&amp;B56&amp;")"</f>
        <v>(ln 18)</v>
      </c>
      <c r="F196" s="235"/>
      <c r="H196" s="233"/>
      <c r="I196" s="233"/>
      <c r="J196" s="233"/>
      <c r="K196" s="233"/>
      <c r="L196" s="237">
        <f>+G56</f>
        <v>391892633</v>
      </c>
      <c r="M196" s="108"/>
      <c r="N196" s="236">
        <v>391892633</v>
      </c>
      <c r="O196" s="151"/>
      <c r="P196" s="236">
        <f t="shared" si="16"/>
        <v>0</v>
      </c>
    </row>
    <row r="197" spans="2:16">
      <c r="B197" s="134">
        <f>+B196+1</f>
        <v>111</v>
      </c>
      <c r="C197" s="133"/>
      <c r="D197" s="125" t="s">
        <v>385</v>
      </c>
      <c r="E197" s="232"/>
      <c r="F197" s="232"/>
      <c r="G197" s="240"/>
      <c r="H197" s="232"/>
      <c r="I197" s="232"/>
      <c r="J197" s="232"/>
      <c r="K197" s="232"/>
      <c r="L197" s="239">
        <v>17955535.869999997</v>
      </c>
      <c r="M197" s="108"/>
      <c r="N197" s="181">
        <v>0</v>
      </c>
      <c r="O197" s="151"/>
      <c r="P197" s="181">
        <f t="shared" si="16"/>
        <v>-17955535.869999997</v>
      </c>
    </row>
    <row r="198" spans="2:16" ht="15.75" thickBot="1">
      <c r="B198" s="134">
        <f>+B197+1</f>
        <v>112</v>
      </c>
      <c r="C198" s="133"/>
      <c r="D198" s="235" t="str">
        <f>"  Less transmission plant included in OATT Ancillary Services (Worksheet A, ln "&amp;'[4]OKT WS A RB Support '!A62&amp;", Col. "&amp;'[4]OKT WS A RB Support '!E6&amp;")  (Note R)"</f>
        <v xml:space="preserve">  Less transmission plant included in OATT Ancillary Services (Worksheet A, ln 23, Col. (C))  (Note R)</v>
      </c>
      <c r="E198" s="235"/>
      <c r="F198" s="235"/>
      <c r="G198" s="234"/>
      <c r="H198" s="233"/>
      <c r="I198" s="233"/>
      <c r="J198" s="234"/>
      <c r="K198" s="233"/>
      <c r="L198" s="199">
        <f>+'[4]OKT WS A RB Support '!G62</f>
        <v>0</v>
      </c>
      <c r="M198" s="108"/>
      <c r="N198" s="198">
        <v>0</v>
      </c>
      <c r="O198" s="151"/>
      <c r="P198" s="198">
        <f t="shared" si="16"/>
        <v>0</v>
      </c>
    </row>
    <row r="199" spans="2:16">
      <c r="B199" s="134">
        <f>+B198+1</f>
        <v>113</v>
      </c>
      <c r="C199" s="133"/>
      <c r="D199" s="125" t="s">
        <v>384</v>
      </c>
      <c r="E199" s="238" t="str">
        <f>"(ln "&amp;B196&amp;" - ln "&amp;B197&amp;" - ln "&amp;B198&amp;")"</f>
        <v>(ln 110 - ln 111 - ln 112)</v>
      </c>
      <c r="F199" s="235"/>
      <c r="H199" s="233"/>
      <c r="I199" s="233"/>
      <c r="J199" s="234"/>
      <c r="K199" s="233"/>
      <c r="L199" s="237">
        <f>L196-L197-L198</f>
        <v>373937097.13</v>
      </c>
      <c r="M199" s="108"/>
      <c r="N199" s="236">
        <v>391892633</v>
      </c>
      <c r="O199" s="151"/>
      <c r="P199" s="236">
        <f t="shared" si="16"/>
        <v>17955535.870000005</v>
      </c>
    </row>
    <row r="200" spans="2:16">
      <c r="B200" s="134"/>
      <c r="C200" s="133"/>
      <c r="D200" s="120"/>
      <c r="E200" s="235"/>
      <c r="F200" s="235"/>
      <c r="G200" s="234"/>
      <c r="H200" s="233"/>
      <c r="I200" s="233"/>
      <c r="J200" s="234"/>
      <c r="K200" s="233"/>
      <c r="L200" s="232"/>
      <c r="M200" s="108"/>
      <c r="N200" s="231"/>
      <c r="O200" s="151"/>
      <c r="P200" s="231" t="str">
        <f t="shared" si="16"/>
        <v/>
      </c>
    </row>
    <row r="201" spans="2:16" ht="15.75">
      <c r="B201" s="134">
        <f>+B199+1</f>
        <v>114</v>
      </c>
      <c r="C201" s="133"/>
      <c r="D201" s="125" t="s">
        <v>383</v>
      </c>
      <c r="E201" s="230" t="str">
        <f>"(ln "&amp;B199&amp;" / ln "&amp;B196&amp;")"</f>
        <v>(ln 113 / ln 110)</v>
      </c>
      <c r="F201" s="229"/>
      <c r="H201" s="228"/>
      <c r="I201" s="227"/>
      <c r="J201" s="227"/>
      <c r="K201" s="226" t="s">
        <v>382</v>
      </c>
      <c r="L201" s="225">
        <f>IF(L196&gt;0,L199/L196,0)</f>
        <v>0.95418251235664331</v>
      </c>
      <c r="M201" s="108"/>
      <c r="N201" s="224">
        <v>1</v>
      </c>
      <c r="O201" s="151"/>
      <c r="P201" s="224">
        <f t="shared" si="16"/>
        <v>4.5817487643356691E-2</v>
      </c>
    </row>
    <row r="202" spans="2:16" ht="15.75">
      <c r="B202" s="134"/>
      <c r="C202" s="133"/>
      <c r="D202" s="223"/>
      <c r="E202" s="125"/>
      <c r="F202" s="125"/>
      <c r="G202" s="222"/>
      <c r="H202" s="125"/>
      <c r="I202" s="114"/>
      <c r="J202" s="125"/>
      <c r="K202" s="125"/>
      <c r="L202" s="138"/>
      <c r="M202" s="108"/>
      <c r="N202" s="221"/>
      <c r="O202" s="151"/>
      <c r="P202" s="221" t="str">
        <f t="shared" si="16"/>
        <v/>
      </c>
    </row>
    <row r="203" spans="2:16" ht="30">
      <c r="B203" s="115">
        <f>B201+1</f>
        <v>115</v>
      </c>
      <c r="C203" s="114"/>
      <c r="D203" s="119" t="s">
        <v>381</v>
      </c>
      <c r="E203" s="175" t="s">
        <v>343</v>
      </c>
      <c r="F203" s="175" t="s">
        <v>380</v>
      </c>
      <c r="G203" s="220" t="s">
        <v>379</v>
      </c>
      <c r="H203" s="219" t="s">
        <v>372</v>
      </c>
      <c r="I203" s="204"/>
      <c r="J203" s="139"/>
      <c r="K203" s="139"/>
      <c r="L203" s="139"/>
      <c r="M203" s="108"/>
      <c r="N203" s="174"/>
      <c r="O203" s="151"/>
      <c r="P203" s="174" t="str">
        <f t="shared" si="16"/>
        <v/>
      </c>
    </row>
    <row r="204" spans="2:16">
      <c r="B204" s="115">
        <f t="shared" ref="B204:B209" si="17">+B203+1</f>
        <v>116</v>
      </c>
      <c r="C204" s="114"/>
      <c r="D204" s="217" t="s">
        <v>374</v>
      </c>
      <c r="E204" s="131"/>
      <c r="F204" s="131"/>
      <c r="G204" s="154"/>
      <c r="H204" s="154"/>
      <c r="I204" s="175"/>
      <c r="J204" s="214"/>
      <c r="K204" s="131"/>
      <c r="L204" s="154"/>
      <c r="M204" s="108"/>
      <c r="N204" s="209"/>
      <c r="O204" s="151"/>
      <c r="P204" s="209" t="str">
        <f t="shared" si="16"/>
        <v/>
      </c>
    </row>
    <row r="205" spans="2:16">
      <c r="B205" s="115">
        <f t="shared" si="17"/>
        <v>117</v>
      </c>
      <c r="C205" s="114"/>
      <c r="D205" s="155" t="s">
        <v>378</v>
      </c>
      <c r="E205" s="131" t="s">
        <v>377</v>
      </c>
      <c r="F205" s="131">
        <f>+'[4]OKT Historic TCOS'!F217</f>
        <v>0</v>
      </c>
      <c r="G205" s="131">
        <f>+'[4]OKT Historic TCOS'!G217+48</f>
        <v>669108</v>
      </c>
      <c r="H205" s="218">
        <f>+F205+G205</f>
        <v>669108</v>
      </c>
      <c r="I205" s="114" t="s">
        <v>264</v>
      </c>
      <c r="J205" s="214">
        <f>VLOOKUP(I205,PSO_TU_Allocators,2,FALSE)</f>
        <v>0.95418251235664331</v>
      </c>
      <c r="K205" s="213"/>
      <c r="L205" s="210">
        <f>(F205+G205)*J205</f>
        <v>638451.1524779289</v>
      </c>
      <c r="M205" s="108"/>
      <c r="N205" s="209">
        <v>669108</v>
      </c>
      <c r="O205" s="151"/>
      <c r="P205" s="209">
        <f t="shared" si="16"/>
        <v>30656.847522071097</v>
      </c>
    </row>
    <row r="206" spans="2:16">
      <c r="B206" s="115">
        <f t="shared" si="17"/>
        <v>118</v>
      </c>
      <c r="C206" s="114"/>
      <c r="D206" s="155" t="s">
        <v>376</v>
      </c>
      <c r="E206" s="131" t="s">
        <v>375</v>
      </c>
      <c r="F206" s="131">
        <f>+'[4]OKT Historic TCOS'!F218</f>
        <v>0</v>
      </c>
      <c r="G206" s="131">
        <f>+'[4]OKT Historic TCOS'!G218</f>
        <v>0</v>
      </c>
      <c r="H206" s="218">
        <f>+F206+G206</f>
        <v>0</v>
      </c>
      <c r="I206" s="204" t="s">
        <v>266</v>
      </c>
      <c r="J206" s="214">
        <f>VLOOKUP(I206,PSO_TU_Allocators,2,FALSE)</f>
        <v>0</v>
      </c>
      <c r="K206" s="213"/>
      <c r="L206" s="210">
        <f>(F206+G206)*J206</f>
        <v>0</v>
      </c>
      <c r="M206" s="108"/>
      <c r="N206" s="209">
        <v>0</v>
      </c>
      <c r="O206" s="151"/>
      <c r="P206" s="209">
        <f t="shared" si="16"/>
        <v>0</v>
      </c>
    </row>
    <row r="207" spans="2:16">
      <c r="B207" s="115">
        <f t="shared" si="17"/>
        <v>119</v>
      </c>
      <c r="C207" s="114"/>
      <c r="D207" s="217" t="s">
        <v>374</v>
      </c>
      <c r="E207" s="131"/>
      <c r="F207" s="131"/>
      <c r="G207" s="154"/>
      <c r="H207" s="154"/>
      <c r="I207" s="175"/>
      <c r="J207" s="214"/>
      <c r="K207" s="131"/>
      <c r="L207" s="154"/>
      <c r="M207" s="108"/>
      <c r="N207" s="209"/>
      <c r="O207" s="151"/>
      <c r="P207" s="209" t="str">
        <f t="shared" si="16"/>
        <v/>
      </c>
    </row>
    <row r="208" spans="2:16" ht="15.75" thickBot="1">
      <c r="B208" s="115">
        <f t="shared" si="17"/>
        <v>120</v>
      </c>
      <c r="C208" s="114"/>
      <c r="D208" s="155" t="s">
        <v>373</v>
      </c>
      <c r="E208" s="139">
        <v>0</v>
      </c>
      <c r="F208" s="216">
        <f>+'[4]OKT Historic TCOS'!F220</f>
        <v>0</v>
      </c>
      <c r="G208" s="216">
        <v>0</v>
      </c>
      <c r="H208" s="215">
        <f>+F208+G208</f>
        <v>0</v>
      </c>
      <c r="I208" s="204" t="s">
        <v>266</v>
      </c>
      <c r="J208" s="214">
        <f>VLOOKUP(I208,PSO_TU_Allocators,2,FALSE)</f>
        <v>0</v>
      </c>
      <c r="K208" s="213"/>
      <c r="L208" s="212">
        <f>(F208+G208)*J208</f>
        <v>0</v>
      </c>
      <c r="M208" s="108"/>
      <c r="N208" s="211">
        <v>0</v>
      </c>
      <c r="O208" s="151"/>
      <c r="P208" s="211">
        <f t="shared" si="16"/>
        <v>0</v>
      </c>
    </row>
    <row r="209" spans="2:16">
      <c r="B209" s="115">
        <f t="shared" si="17"/>
        <v>121</v>
      </c>
      <c r="C209" s="114"/>
      <c r="D209" s="155" t="s">
        <v>372</v>
      </c>
      <c r="E209" s="155" t="str">
        <f>"(sum lns "&amp;B204&amp;" to "&amp;B208&amp;")"</f>
        <v>(sum lns 116 to 120)</v>
      </c>
      <c r="F209" s="131">
        <f>SUM(F204:F208)</f>
        <v>0</v>
      </c>
      <c r="G209" s="131">
        <f>SUM(G204:G208)</f>
        <v>669108</v>
      </c>
      <c r="H209" s="131">
        <f>SUM(H204:H208)</f>
        <v>669108</v>
      </c>
      <c r="I209" s="204"/>
      <c r="J209" s="139"/>
      <c r="K209" s="139"/>
      <c r="L209" s="210">
        <f>SUM(L204:L208)</f>
        <v>638451.1524779289</v>
      </c>
      <c r="M209" s="108"/>
      <c r="N209" s="209">
        <v>669108</v>
      </c>
      <c r="O209" s="151"/>
      <c r="P209" s="209">
        <f t="shared" si="16"/>
        <v>30656.847522071097</v>
      </c>
    </row>
    <row r="210" spans="2:16">
      <c r="B210" s="115"/>
      <c r="C210" s="114"/>
      <c r="D210" s="155" t="s">
        <v>288</v>
      </c>
      <c r="E210" s="131" t="s">
        <v>288</v>
      </c>
      <c r="F210" s="131"/>
      <c r="G210" s="120"/>
      <c r="H210" s="131"/>
      <c r="I210" s="128"/>
      <c r="M210" s="108"/>
      <c r="N210" s="151"/>
      <c r="O210" s="151"/>
      <c r="P210" s="151" t="str">
        <f t="shared" si="16"/>
        <v/>
      </c>
    </row>
    <row r="211" spans="2:16" ht="15.75">
      <c r="B211" s="134">
        <f>B209+1</f>
        <v>122</v>
      </c>
      <c r="C211" s="133"/>
      <c r="D211" s="205" t="s">
        <v>371</v>
      </c>
      <c r="E211" s="131"/>
      <c r="F211" s="131"/>
      <c r="G211" s="131"/>
      <c r="H211" s="131"/>
      <c r="I211" s="128"/>
      <c r="K211" s="208" t="s">
        <v>370</v>
      </c>
      <c r="L211" s="207">
        <f>IF(H209&lt;&gt;0,L209/(F209+G209),0)</f>
        <v>0.95418251235664331</v>
      </c>
      <c r="M211" s="108"/>
      <c r="N211" s="206">
        <v>1</v>
      </c>
      <c r="O211" s="151"/>
      <c r="P211" s="206">
        <f t="shared" si="16"/>
        <v>4.5817487643356691E-2</v>
      </c>
    </row>
    <row r="212" spans="2:16">
      <c r="B212" s="134"/>
      <c r="C212" s="133"/>
      <c r="D212" s="205"/>
      <c r="E212" s="131"/>
      <c r="F212" s="131"/>
      <c r="G212" s="131"/>
      <c r="H212" s="131"/>
      <c r="I212" s="204"/>
      <c r="J212" s="139"/>
      <c r="K212" s="139"/>
      <c r="L212" s="139"/>
      <c r="M212" s="108"/>
      <c r="N212" s="174"/>
      <c r="O212" s="151"/>
      <c r="P212" s="174" t="str">
        <f t="shared" si="16"/>
        <v/>
      </c>
    </row>
    <row r="213" spans="2:16" ht="15.75">
      <c r="B213" s="134"/>
      <c r="C213" s="133"/>
      <c r="D213" s="195" t="s">
        <v>369</v>
      </c>
      <c r="E213" s="131"/>
      <c r="F213" s="131"/>
      <c r="G213" s="131"/>
      <c r="H213" s="131"/>
      <c r="I213" s="204"/>
      <c r="J213" s="139"/>
      <c r="K213" s="139"/>
      <c r="L213" s="139"/>
      <c r="M213" s="108"/>
      <c r="N213" s="174"/>
      <c r="O213" s="151"/>
      <c r="P213" s="174" t="str">
        <f t="shared" si="16"/>
        <v/>
      </c>
    </row>
    <row r="214" spans="2:16" ht="15.75" thickBot="1">
      <c r="B214" s="115">
        <f>+B211+1</f>
        <v>123</v>
      </c>
      <c r="C214" s="114"/>
      <c r="D214" s="155" t="s">
        <v>363</v>
      </c>
      <c r="E214" s="131"/>
      <c r="F214" s="131"/>
      <c r="G214" s="131"/>
      <c r="H214" s="131"/>
      <c r="I214" s="131"/>
      <c r="J214" s="131"/>
      <c r="K214" s="131"/>
      <c r="L214" s="188" t="s">
        <v>362</v>
      </c>
      <c r="M214" s="108"/>
      <c r="N214" s="187" t="s">
        <v>362</v>
      </c>
      <c r="O214" s="151"/>
      <c r="P214" s="187" t="s">
        <v>362</v>
      </c>
    </row>
    <row r="215" spans="2:16">
      <c r="B215" s="115">
        <f t="shared" ref="B215:B222" si="18">+B214+1</f>
        <v>124</v>
      </c>
      <c r="C215" s="114"/>
      <c r="D215" s="131" t="s">
        <v>361</v>
      </c>
      <c r="E215" s="104" t="s">
        <v>368</v>
      </c>
      <c r="F215" s="131"/>
      <c r="G215" s="131"/>
      <c r="H215" s="131"/>
      <c r="I215" s="131"/>
      <c r="J215" s="131"/>
      <c r="K215" s="131"/>
      <c r="L215" s="203">
        <f>+'[4]OKT WS N Avg Cap Structure'!E32</f>
        <v>8069540</v>
      </c>
      <c r="M215" s="108"/>
      <c r="N215" s="202">
        <v>8069540</v>
      </c>
      <c r="O215" s="151"/>
      <c r="P215" s="202">
        <f>IF(N215="","",N215-L215)</f>
        <v>0</v>
      </c>
    </row>
    <row r="216" spans="2:16">
      <c r="B216" s="115">
        <f t="shared" si="18"/>
        <v>125</v>
      </c>
      <c r="C216" s="114"/>
      <c r="D216" s="131" t="s">
        <v>359</v>
      </c>
      <c r="E216" s="104" t="s">
        <v>367</v>
      </c>
      <c r="F216" s="131"/>
      <c r="G216" s="131"/>
      <c r="H216" s="131"/>
      <c r="I216" s="131"/>
      <c r="J216" s="131"/>
      <c r="K216" s="131"/>
      <c r="L216" s="203">
        <f>+'[4]OKT WS N Avg Cap Structure'!E74</f>
        <v>0</v>
      </c>
      <c r="M216" s="108"/>
      <c r="N216" s="202">
        <v>0</v>
      </c>
      <c r="O216" s="151"/>
      <c r="P216" s="202">
        <f>IF(N216="","",N216-L216)</f>
        <v>0</v>
      </c>
    </row>
    <row r="217" spans="2:16" ht="15.75" thickBot="1">
      <c r="B217" s="115">
        <f t="shared" si="18"/>
        <v>126</v>
      </c>
      <c r="C217" s="114"/>
      <c r="D217" s="185" t="s">
        <v>357</v>
      </c>
      <c r="E217" s="131"/>
      <c r="F217" s="131"/>
      <c r="G217" s="131"/>
      <c r="H217" s="108"/>
      <c r="I217" s="108"/>
      <c r="J217" s="108"/>
      <c r="K217" s="131"/>
      <c r="L217" s="184" t="s">
        <v>356</v>
      </c>
      <c r="M217" s="108"/>
      <c r="N217" s="183" t="s">
        <v>356</v>
      </c>
      <c r="O217" s="151"/>
      <c r="P217" s="183" t="s">
        <v>356</v>
      </c>
    </row>
    <row r="218" spans="2:16">
      <c r="B218" s="115">
        <f t="shared" si="18"/>
        <v>127</v>
      </c>
      <c r="C218" s="114"/>
      <c r="D218" s="131" t="s">
        <v>355</v>
      </c>
      <c r="E218" s="104" t="str">
        <f>"(Worksheet N, ln. "&amp;'[4]OKT WS N Avg Cap Structure'!A11&amp;", col. "&amp;'[4]OKT WS N Avg Cap Structure'!E6&amp;")"</f>
        <v>(Worksheet N, ln. 1, col. (E))</v>
      </c>
      <c r="F218" s="131"/>
      <c r="G218" s="125"/>
      <c r="H218" s="108"/>
      <c r="I218" s="108"/>
      <c r="J218" s="108"/>
      <c r="K218" s="131"/>
      <c r="L218" s="201">
        <f>+'[4]OKT WS N Avg Cap Structure'!E11</f>
        <v>202912016.5</v>
      </c>
      <c r="M218" s="108"/>
      <c r="N218" s="200">
        <v>202912016.5</v>
      </c>
      <c r="O218" s="151"/>
      <c r="P218" s="200">
        <f t="shared" ref="P218:P223" si="19">IF(N218="","",N218-L218)</f>
        <v>0</v>
      </c>
    </row>
    <row r="219" spans="2:16">
      <c r="B219" s="115">
        <f t="shared" si="18"/>
        <v>128</v>
      </c>
      <c r="C219" s="114"/>
      <c r="D219" s="131" t="str">
        <f>"Less Preferred Stock (ln "&amp;B226&amp;")"</f>
        <v>Less Preferred Stock (ln 134)</v>
      </c>
      <c r="E219" s="104" t="str">
        <f>"(Worksheet N, ln. "&amp;'[4]OKT WS N Avg Cap Structure'!A12&amp;", col. "&amp;'[4]OKT WS N Avg Cap Structure'!E6&amp;")"</f>
        <v>(Worksheet N, ln. 2, col. (E))</v>
      </c>
      <c r="F219" s="131"/>
      <c r="G219" s="131"/>
      <c r="H219" s="108"/>
      <c r="I219" s="108"/>
      <c r="J219" s="108"/>
      <c r="K219" s="131"/>
      <c r="L219" s="201">
        <f>+'[4]OKT WS N Avg Cap Structure'!E12</f>
        <v>0</v>
      </c>
      <c r="M219" s="108"/>
      <c r="N219" s="200">
        <v>0</v>
      </c>
      <c r="O219" s="151"/>
      <c r="P219" s="200">
        <f t="shared" si="19"/>
        <v>0</v>
      </c>
    </row>
    <row r="220" spans="2:16">
      <c r="B220" s="115">
        <f t="shared" si="18"/>
        <v>129</v>
      </c>
      <c r="C220" s="114"/>
      <c r="D220" s="131" t="s">
        <v>352</v>
      </c>
      <c r="E220" s="104" t="str">
        <f>"(Worksheet N, ln. "&amp;'[4]OKT WS N Avg Cap Structure'!A13&amp;", col. "&amp;'[4]OKT WS N Avg Cap Structure'!E6&amp;")"</f>
        <v>(Worksheet N, ln. 3, col. (E))</v>
      </c>
      <c r="F220" s="131"/>
      <c r="G220" s="131"/>
      <c r="H220" s="108"/>
      <c r="I220" s="108"/>
      <c r="J220" s="108"/>
      <c r="K220" s="131"/>
      <c r="L220" s="201">
        <f>+'[4]OKT WS N Avg Cap Structure'!E13</f>
        <v>0</v>
      </c>
      <c r="M220" s="108"/>
      <c r="N220" s="200">
        <v>0</v>
      </c>
      <c r="O220" s="151"/>
      <c r="P220" s="200">
        <f t="shared" si="19"/>
        <v>0</v>
      </c>
    </row>
    <row r="221" spans="2:16" ht="15.75" thickBot="1">
      <c r="B221" s="115">
        <f t="shared" si="18"/>
        <v>130</v>
      </c>
      <c r="C221" s="114"/>
      <c r="D221" s="131" t="s">
        <v>350</v>
      </c>
      <c r="E221" s="104" t="str">
        <f>"(Worksheet N, ln. "&amp;'[4]OKT WS N Avg Cap Structure'!A14&amp;", col. "&amp;'[4]OKT WS N Avg Cap Structure'!E6&amp;")"</f>
        <v>(Worksheet N, ln. 4, col. (E))</v>
      </c>
      <c r="F221" s="131"/>
      <c r="G221" s="131"/>
      <c r="H221" s="108"/>
      <c r="I221" s="108"/>
      <c r="J221" s="108"/>
      <c r="K221" s="131"/>
      <c r="L221" s="199">
        <f>+'[4]OKT WS N Avg Cap Structure'!E14</f>
        <v>0</v>
      </c>
      <c r="M221" s="108"/>
      <c r="N221" s="198">
        <v>0</v>
      </c>
      <c r="O221" s="151"/>
      <c r="P221" s="198">
        <f t="shared" si="19"/>
        <v>0</v>
      </c>
    </row>
    <row r="222" spans="2:16">
      <c r="B222" s="115">
        <f t="shared" si="18"/>
        <v>131</v>
      </c>
      <c r="C222" s="114"/>
      <c r="D222" s="104" t="s">
        <v>348</v>
      </c>
      <c r="E222" s="131" t="str">
        <f>"(ln "&amp;B218&amp;" - ln "&amp;B219&amp;" - ln "&amp;B220&amp;" - ln "&amp;B221&amp;")"</f>
        <v>(ln 127 - ln 128 - ln 129 - ln 130)</v>
      </c>
      <c r="F222" s="178"/>
      <c r="G222" s="105"/>
      <c r="H222" s="125"/>
      <c r="I222" s="125"/>
      <c r="J222" s="125"/>
      <c r="K222" s="125"/>
      <c r="L222" s="177">
        <f>+L218-L219-L220-L221</f>
        <v>202912016.5</v>
      </c>
      <c r="M222" s="108"/>
      <c r="N222" s="176">
        <v>202912016.5</v>
      </c>
      <c r="O222" s="151"/>
      <c r="P222" s="176">
        <f t="shared" si="19"/>
        <v>0</v>
      </c>
    </row>
    <row r="223" spans="2:16" ht="15.75">
      <c r="B223" s="115"/>
      <c r="C223" s="114"/>
      <c r="D223" s="155"/>
      <c r="E223" s="131"/>
      <c r="F223" s="131"/>
      <c r="G223" s="475" t="s">
        <v>347</v>
      </c>
      <c r="H223" s="475"/>
      <c r="I223" s="131"/>
      <c r="J223" s="175" t="s">
        <v>346</v>
      </c>
      <c r="K223" s="131"/>
      <c r="L223" s="131"/>
      <c r="M223" s="108"/>
      <c r="N223" s="174"/>
      <c r="O223" s="151"/>
      <c r="P223" s="174" t="str">
        <f t="shared" si="19"/>
        <v/>
      </c>
    </row>
    <row r="224" spans="2:16" ht="15.75" thickBot="1">
      <c r="B224" s="115">
        <f>+B222+1</f>
        <v>132</v>
      </c>
      <c r="C224" s="114"/>
      <c r="D224" s="155"/>
      <c r="E224" s="172" t="str">
        <f>""&amp;'[4]OKT Historic TCOS'!O2&amp;" Avg Balances"</f>
        <v>2016 Avg Balances</v>
      </c>
      <c r="G224" s="172" t="s">
        <v>345</v>
      </c>
      <c r="H224" s="173" t="s">
        <v>344</v>
      </c>
      <c r="I224" s="131"/>
      <c r="J224" s="172" t="s">
        <v>343</v>
      </c>
      <c r="K224" s="131"/>
      <c r="L224" s="172" t="s">
        <v>342</v>
      </c>
      <c r="M224" s="108"/>
      <c r="N224" s="171" t="s">
        <v>342</v>
      </c>
      <c r="O224" s="151"/>
      <c r="P224" s="171" t="s">
        <v>342</v>
      </c>
    </row>
    <row r="225" spans="1:16">
      <c r="B225" s="115">
        <f>+B224+1</f>
        <v>133</v>
      </c>
      <c r="C225" s="114"/>
      <c r="D225" s="131" t="str">
        <f>"Avg Long Term Debt (Worksheet N, ln. "&amp;'[4]OKT WS N Avg Cap Structure'!A23&amp;", col. "&amp;'[4]OKT WS N Avg Cap Structure'!E6&amp;")"</f>
        <v>Avg Long Term Debt (Worksheet N, ln. 10, col. (E))</v>
      </c>
      <c r="E225" s="154">
        <f>+'[4]OKT WS N Avg Cap Structure'!E23</f>
        <v>192600000</v>
      </c>
      <c r="G225" s="162">
        <f>IF($E$228&gt;0,E225/$E$228,0)</f>
        <v>0.48696371277002654</v>
      </c>
      <c r="H225" s="161">
        <f>IF(G227&gt;E230,1-H226-H227,0)</f>
        <v>0.5</v>
      </c>
      <c r="I225" s="160"/>
      <c r="J225" s="166">
        <f>IF(E225&gt;0,L215/E225,0)</f>
        <v>4.1897923156801659E-2</v>
      </c>
      <c r="K225" s="120"/>
      <c r="L225" s="170">
        <f>IF(G$227&gt;E$230,J225*H225,J225*G225)</f>
        <v>2.0948961578400829E-2</v>
      </c>
      <c r="M225" s="108"/>
      <c r="N225" s="169">
        <v>2.0948961578400829E-2</v>
      </c>
      <c r="O225" s="151"/>
      <c r="P225" s="169">
        <f t="shared" ref="P225:P232" si="20">IF(N225="","",N225-L225)</f>
        <v>0</v>
      </c>
    </row>
    <row r="226" spans="1:16">
      <c r="B226" s="115">
        <f>+B225+1</f>
        <v>134</v>
      </c>
      <c r="C226" s="114"/>
      <c r="D226" s="131" t="str">
        <f>"Avg Preferred Stock (Worksheet N, ln. "&amp;'[4]OKT WS N Avg Cap Structure'!A73&amp;", col. "&amp;'[4]OKT WS M Cost of Debt for Proj.'!F6&amp;")"</f>
        <v>Avg Preferred Stock (Worksheet N, ln. 46, col. (E))</v>
      </c>
      <c r="E226" s="154">
        <f>+'[4]OKT WS N Avg Cap Structure'!E70</f>
        <v>0</v>
      </c>
      <c r="G226" s="162">
        <f>IF($E$228&gt;0,E226/$E$228,0)</f>
        <v>0</v>
      </c>
      <c r="H226" s="161">
        <f>IF(G227&gt;E230,G226,0)</f>
        <v>0</v>
      </c>
      <c r="I226" s="160"/>
      <c r="J226" s="166">
        <f>IF(E226&gt;0,L216/E226,0)</f>
        <v>0</v>
      </c>
      <c r="K226" s="120"/>
      <c r="L226" s="165">
        <f>IF(G$227&gt;E$230,J226*H226,J226*G226)</f>
        <v>0</v>
      </c>
      <c r="M226" s="108"/>
      <c r="N226" s="164">
        <v>0</v>
      </c>
      <c r="O226" s="151"/>
      <c r="P226" s="164">
        <f t="shared" si="20"/>
        <v>0</v>
      </c>
    </row>
    <row r="227" spans="1:16" ht="15.75" thickBot="1">
      <c r="B227" s="115">
        <f>+B226+1</f>
        <v>135</v>
      </c>
      <c r="C227" s="114"/>
      <c r="D227" s="155" t="str">
        <f>"Avg Common Stock  (ln "&amp;B222&amp;") (Note U)"</f>
        <v>Avg Common Stock  (ln 131) (Note U)</v>
      </c>
      <c r="E227" s="163">
        <f>+L222</f>
        <v>202912016.5</v>
      </c>
      <c r="G227" s="162">
        <f>IF($E$228&gt;0,E227/$E$228,0)</f>
        <v>0.51303628722997341</v>
      </c>
      <c r="H227" s="161">
        <f>IF(G227&gt;E230,E230,0)</f>
        <v>0.5</v>
      </c>
      <c r="I227" s="160"/>
      <c r="J227" s="166">
        <f>'[4]OKT Historic TCOS'!J240</f>
        <v>0.112</v>
      </c>
      <c r="K227" s="120"/>
      <c r="L227" s="158">
        <f>IF(G$227&gt;E$230,J227*H227,J227*G227)</f>
        <v>5.6000000000000001E-2</v>
      </c>
      <c r="M227" s="108"/>
      <c r="N227" s="156">
        <v>5.6000000000000001E-2</v>
      </c>
      <c r="O227" s="151"/>
      <c r="P227" s="156">
        <f t="shared" si="20"/>
        <v>0</v>
      </c>
    </row>
    <row r="228" spans="1:16" ht="15.75">
      <c r="B228" s="115">
        <f>+B227+1</f>
        <v>136</v>
      </c>
      <c r="C228" s="114"/>
      <c r="D228" s="155" t="str">
        <f>"  Total  (sum lns "&amp;B225&amp;" to "&amp;B227&amp;")"</f>
        <v xml:space="preserve">  Total  (sum lns 133 to 135)</v>
      </c>
      <c r="E228" s="154">
        <f>E227+E226+E225</f>
        <v>395512016.5</v>
      </c>
      <c r="G228" s="131" t="s">
        <v>288</v>
      </c>
      <c r="I228" s="131"/>
      <c r="J228" s="143"/>
      <c r="K228" s="153" t="s">
        <v>339</v>
      </c>
      <c r="L228" s="152">
        <f>SUM(L225:L227)</f>
        <v>7.6948961578400837E-2</v>
      </c>
      <c r="M228" s="108"/>
      <c r="N228" s="150">
        <v>7.6948961578400837E-2</v>
      </c>
      <c r="O228" s="151"/>
      <c r="P228" s="150">
        <f t="shared" si="20"/>
        <v>0</v>
      </c>
    </row>
    <row r="229" spans="1:16">
      <c r="B229" s="149"/>
      <c r="C229" s="108"/>
      <c r="D229" s="108"/>
      <c r="E229" s="143"/>
      <c r="F229" s="143"/>
      <c r="G229" s="143"/>
      <c r="H229" s="143"/>
      <c r="I229" s="143"/>
      <c r="J229" s="129"/>
      <c r="K229" s="129"/>
      <c r="L229" s="129"/>
      <c r="M229" s="108"/>
      <c r="N229" s="197"/>
      <c r="O229" s="151"/>
      <c r="P229" s="197" t="str">
        <f t="shared" si="20"/>
        <v/>
      </c>
    </row>
    <row r="230" spans="1:16">
      <c r="B230" s="134">
        <f>+B228+1</f>
        <v>137</v>
      </c>
      <c r="C230" s="108"/>
      <c r="D230" s="130" t="s">
        <v>366</v>
      </c>
      <c r="E230" s="147">
        <f>+'[4]OKT Historic TCOS'!E243</f>
        <v>0.5</v>
      </c>
      <c r="F230" s="143"/>
      <c r="G230" s="146"/>
      <c r="H230" s="143"/>
      <c r="I230" s="143"/>
      <c r="J230" s="131"/>
      <c r="K230" s="125"/>
      <c r="L230" s="131"/>
      <c r="M230" s="108"/>
      <c r="N230" s="174"/>
      <c r="O230" s="151"/>
      <c r="P230" s="174" t="str">
        <f t="shared" si="20"/>
        <v/>
      </c>
    </row>
    <row r="231" spans="1:16" s="105" customFormat="1" ht="15.75">
      <c r="B231" s="115"/>
      <c r="C231" s="114"/>
      <c r="D231" s="155"/>
      <c r="E231" s="194"/>
      <c r="F231" s="131"/>
      <c r="G231" s="120"/>
      <c r="H231" s="131"/>
      <c r="I231" s="131"/>
      <c r="J231" s="131"/>
      <c r="K231" s="196"/>
      <c r="L231" s="190"/>
      <c r="M231" s="143"/>
      <c r="N231" s="189"/>
      <c r="O231" s="151"/>
      <c r="P231" s="189" t="str">
        <f t="shared" si="20"/>
        <v/>
      </c>
    </row>
    <row r="232" spans="1:16" ht="15.75">
      <c r="A232" s="105"/>
      <c r="B232" s="134"/>
      <c r="C232" s="133"/>
      <c r="D232" s="195" t="s">
        <v>365</v>
      </c>
      <c r="E232" s="194"/>
      <c r="F232" s="193" t="s">
        <v>364</v>
      </c>
      <c r="G232" s="192"/>
      <c r="H232" s="139"/>
      <c r="I232" s="139"/>
      <c r="J232" s="139"/>
      <c r="K232" s="191"/>
      <c r="L232" s="190"/>
      <c r="M232" s="143"/>
      <c r="N232" s="189"/>
      <c r="O232" s="151"/>
      <c r="P232" s="189" t="str">
        <f t="shared" si="20"/>
        <v/>
      </c>
    </row>
    <row r="233" spans="1:16" ht="15.75" thickBot="1">
      <c r="A233" s="105"/>
      <c r="B233" s="115">
        <f>+B230+1</f>
        <v>138</v>
      </c>
      <c r="C233" s="114"/>
      <c r="D233" s="155" t="s">
        <v>363</v>
      </c>
      <c r="E233" s="131"/>
      <c r="F233" s="131"/>
      <c r="G233" s="131"/>
      <c r="H233" s="131"/>
      <c r="I233" s="131"/>
      <c r="J233" s="131"/>
      <c r="K233" s="131"/>
      <c r="L233" s="188" t="s">
        <v>362</v>
      </c>
      <c r="M233" s="143"/>
      <c r="N233" s="187" t="s">
        <v>362</v>
      </c>
      <c r="O233" s="151"/>
      <c r="P233" s="187" t="s">
        <v>362</v>
      </c>
    </row>
    <row r="234" spans="1:16">
      <c r="A234" s="105"/>
      <c r="B234" s="115">
        <f t="shared" ref="B234:B241" si="21">+B233+1</f>
        <v>139</v>
      </c>
      <c r="C234" s="114"/>
      <c r="D234" s="131" t="s">
        <v>361</v>
      </c>
      <c r="E234" s="104" t="s">
        <v>360</v>
      </c>
      <c r="F234" s="131"/>
      <c r="G234" s="131"/>
      <c r="H234" s="131"/>
      <c r="I234" s="131"/>
      <c r="J234" s="131"/>
      <c r="K234" s="131"/>
      <c r="L234" s="167">
        <v>61327406</v>
      </c>
      <c r="M234" s="143"/>
      <c r="N234" s="186">
        <v>61327406</v>
      </c>
      <c r="O234" s="151"/>
      <c r="P234" s="186">
        <f>IF(N234="","",N234-L234)</f>
        <v>0</v>
      </c>
    </row>
    <row r="235" spans="1:16">
      <c r="A235" s="105"/>
      <c r="B235" s="115">
        <f t="shared" si="21"/>
        <v>140</v>
      </c>
      <c r="C235" s="114"/>
      <c r="D235" s="131" t="s">
        <v>359</v>
      </c>
      <c r="E235" s="104" t="s">
        <v>358</v>
      </c>
      <c r="F235" s="131"/>
      <c r="G235" s="131"/>
      <c r="H235" s="131"/>
      <c r="I235" s="131"/>
      <c r="J235" s="131"/>
      <c r="K235" s="131"/>
      <c r="L235" s="167">
        <v>0</v>
      </c>
      <c r="M235" s="143"/>
      <c r="N235" s="186">
        <v>0</v>
      </c>
      <c r="O235" s="151"/>
      <c r="P235" s="186">
        <f>IF(N235="","",N235-L235)</f>
        <v>0</v>
      </c>
    </row>
    <row r="236" spans="1:16" ht="15.75" thickBot="1">
      <c r="A236" s="105"/>
      <c r="B236" s="115">
        <f t="shared" si="21"/>
        <v>141</v>
      </c>
      <c r="C236" s="114"/>
      <c r="D236" s="185" t="s">
        <v>357</v>
      </c>
      <c r="E236" s="131"/>
      <c r="F236" s="131"/>
      <c r="G236" s="131"/>
      <c r="H236" s="108"/>
      <c r="I236" s="108"/>
      <c r="J236" s="108"/>
      <c r="K236" s="131"/>
      <c r="L236" s="184" t="s">
        <v>356</v>
      </c>
      <c r="M236" s="143"/>
      <c r="N236" s="183" t="s">
        <v>356</v>
      </c>
      <c r="O236" s="151"/>
      <c r="P236" s="183" t="s">
        <v>356</v>
      </c>
    </row>
    <row r="237" spans="1:16">
      <c r="A237" s="105"/>
      <c r="B237" s="115">
        <f t="shared" si="21"/>
        <v>142</v>
      </c>
      <c r="C237" s="114"/>
      <c r="D237" s="131" t="s">
        <v>355</v>
      </c>
      <c r="E237" s="104" t="s">
        <v>354</v>
      </c>
      <c r="F237" s="131"/>
      <c r="G237" s="125"/>
      <c r="H237" s="108"/>
      <c r="I237" s="108"/>
      <c r="J237" s="108"/>
      <c r="K237" s="131"/>
      <c r="L237" s="182">
        <v>1074100598.5</v>
      </c>
      <c r="M237" s="143"/>
      <c r="N237" s="181">
        <v>1074100598.5</v>
      </c>
      <c r="O237" s="151"/>
      <c r="P237" s="181">
        <f t="shared" ref="P237:P242" si="22">IF(N237="","",N237-L237)</f>
        <v>0</v>
      </c>
    </row>
    <row r="238" spans="1:16">
      <c r="A238" s="105"/>
      <c r="B238" s="115">
        <f t="shared" si="21"/>
        <v>143</v>
      </c>
      <c r="C238" s="114"/>
      <c r="D238" s="131" t="str">
        <f>"Less Preferred Stock (ln "&amp;B245&amp;")"</f>
        <v>Less Preferred Stock (ln 149)</v>
      </c>
      <c r="E238" s="104" t="s">
        <v>353</v>
      </c>
      <c r="F238" s="131"/>
      <c r="G238" s="131"/>
      <c r="H238" s="108"/>
      <c r="I238" s="108"/>
      <c r="J238" s="108"/>
      <c r="K238" s="131"/>
      <c r="L238" s="182">
        <v>0</v>
      </c>
      <c r="M238" s="143"/>
      <c r="N238" s="181">
        <v>0</v>
      </c>
      <c r="O238" s="151"/>
      <c r="P238" s="181">
        <f t="shared" si="22"/>
        <v>0</v>
      </c>
    </row>
    <row r="239" spans="1:16">
      <c r="A239" s="105"/>
      <c r="B239" s="115">
        <f t="shared" si="21"/>
        <v>144</v>
      </c>
      <c r="C239" s="114"/>
      <c r="D239" s="131" t="s">
        <v>352</v>
      </c>
      <c r="E239" s="104" t="s">
        <v>351</v>
      </c>
      <c r="F239" s="131"/>
      <c r="G239" s="131"/>
      <c r="H239" s="108"/>
      <c r="I239" s="108"/>
      <c r="J239" s="108"/>
      <c r="K239" s="131"/>
      <c r="L239" s="182">
        <v>0</v>
      </c>
      <c r="M239" s="143"/>
      <c r="N239" s="181">
        <v>0</v>
      </c>
      <c r="O239" s="151"/>
      <c r="P239" s="181">
        <f t="shared" si="22"/>
        <v>0</v>
      </c>
    </row>
    <row r="240" spans="1:16" ht="15.75" thickBot="1">
      <c r="A240" s="105"/>
      <c r="B240" s="115">
        <f t="shared" si="21"/>
        <v>145</v>
      </c>
      <c r="C240" s="114"/>
      <c r="D240" s="131" t="s">
        <v>350</v>
      </c>
      <c r="E240" s="104" t="s">
        <v>349</v>
      </c>
      <c r="F240" s="131"/>
      <c r="G240" s="131"/>
      <c r="H240" s="108"/>
      <c r="I240" s="108"/>
      <c r="J240" s="108"/>
      <c r="K240" s="131"/>
      <c r="L240" s="180">
        <v>4563326.5</v>
      </c>
      <c r="M240" s="143"/>
      <c r="N240" s="179">
        <v>4563326.5</v>
      </c>
      <c r="O240" s="151"/>
      <c r="P240" s="179">
        <f t="shared" si="22"/>
        <v>0</v>
      </c>
    </row>
    <row r="241" spans="1:21">
      <c r="A241" s="105"/>
      <c r="B241" s="115">
        <f t="shared" si="21"/>
        <v>146</v>
      </c>
      <c r="C241" s="114"/>
      <c r="D241" s="104" t="s">
        <v>348</v>
      </c>
      <c r="E241" s="131" t="str">
        <f>"(ln "&amp;B237&amp;" - ln "&amp;B238&amp;" - ln "&amp;B239&amp;" - ln "&amp;B240&amp;")"</f>
        <v>(ln 142 - ln 143 - ln 144 - ln 145)</v>
      </c>
      <c r="F241" s="178"/>
      <c r="G241" s="105"/>
      <c r="H241" s="125"/>
      <c r="I241" s="125"/>
      <c r="J241" s="125"/>
      <c r="K241" s="125"/>
      <c r="L241" s="177">
        <f>+L237-L238-L239-L240</f>
        <v>1069537272</v>
      </c>
      <c r="M241" s="143"/>
      <c r="N241" s="176">
        <v>1069537272</v>
      </c>
      <c r="O241" s="151"/>
      <c r="P241" s="176">
        <f t="shared" si="22"/>
        <v>0</v>
      </c>
    </row>
    <row r="242" spans="1:21" ht="15.75">
      <c r="A242" s="105"/>
      <c r="B242" s="115"/>
      <c r="C242" s="114"/>
      <c r="D242" s="155"/>
      <c r="E242" s="131"/>
      <c r="F242" s="131"/>
      <c r="G242" s="475" t="s">
        <v>347</v>
      </c>
      <c r="H242" s="475"/>
      <c r="I242" s="131"/>
      <c r="J242" s="175" t="s">
        <v>346</v>
      </c>
      <c r="K242" s="131"/>
      <c r="L242" s="131"/>
      <c r="M242" s="143"/>
      <c r="N242" s="174"/>
      <c r="O242" s="151"/>
      <c r="P242" s="174" t="str">
        <f t="shared" si="22"/>
        <v/>
      </c>
    </row>
    <row r="243" spans="1:21" ht="15.75" thickBot="1">
      <c r="A243" s="105"/>
      <c r="B243" s="115">
        <f>+B241+1</f>
        <v>147</v>
      </c>
      <c r="C243" s="114"/>
      <c r="D243" s="155"/>
      <c r="E243" s="172" t="str">
        <f>""&amp;'[4]OKT Historic TCOS'!O1&amp;" Avg Balances"</f>
        <v>2015 Avg Balances</v>
      </c>
      <c r="G243" s="172" t="s">
        <v>345</v>
      </c>
      <c r="H243" s="173" t="s">
        <v>344</v>
      </c>
      <c r="I243" s="131"/>
      <c r="J243" s="172" t="s">
        <v>343</v>
      </c>
      <c r="K243" s="131"/>
      <c r="L243" s="172" t="s">
        <v>342</v>
      </c>
      <c r="M243" s="143"/>
      <c r="N243" s="171" t="s">
        <v>342</v>
      </c>
      <c r="O243" s="157"/>
      <c r="P243" s="171" t="s">
        <v>342</v>
      </c>
      <c r="Q243" s="168"/>
      <c r="R243" s="168"/>
      <c r="S243" s="168"/>
      <c r="T243" s="168"/>
      <c r="U243" s="168"/>
    </row>
    <row r="244" spans="1:21">
      <c r="A244" s="105"/>
      <c r="B244" s="115">
        <f>+B243+1</f>
        <v>148</v>
      </c>
      <c r="C244" s="114"/>
      <c r="D244" s="131" t="s">
        <v>341</v>
      </c>
      <c r="E244" s="167">
        <v>1168776136</v>
      </c>
      <c r="G244" s="162">
        <f>IF($E$247&gt;0,E244/$E$247,0)</f>
        <v>0.52216822354843351</v>
      </c>
      <c r="H244" s="161">
        <f>IF(G246&gt;E249,1-H245-H246,0)</f>
        <v>0</v>
      </c>
      <c r="I244" s="160"/>
      <c r="J244" s="166">
        <f>IF(E244&gt;0,L234/E244,0)</f>
        <v>5.2471473459310948E-2</v>
      </c>
      <c r="K244" s="120"/>
      <c r="L244" s="170">
        <f>IF(G$246&gt;E$249,J244*H244,J244*G244)</f>
        <v>2.7398936083217175E-2</v>
      </c>
      <c r="M244" s="143"/>
      <c r="N244" s="169">
        <v>2.7398936083217175E-2</v>
      </c>
      <c r="O244" s="157"/>
      <c r="P244" s="169">
        <f>IF(N244="","",N244-L244)</f>
        <v>0</v>
      </c>
      <c r="Q244" s="168"/>
      <c r="R244" s="168"/>
      <c r="S244" s="168"/>
      <c r="T244" s="168"/>
      <c r="U244" s="168"/>
    </row>
    <row r="245" spans="1:21">
      <c r="A245" s="105"/>
      <c r="B245" s="115">
        <f>+B244+1</f>
        <v>149</v>
      </c>
      <c r="C245" s="114"/>
      <c r="D245" s="131" t="s">
        <v>340</v>
      </c>
      <c r="E245" s="167">
        <v>0</v>
      </c>
      <c r="G245" s="162">
        <f>IF($E$247&gt;0,E245/$E$247,0)</f>
        <v>0</v>
      </c>
      <c r="H245" s="161">
        <f>IF(G246&gt;E249,G245,0)</f>
        <v>0</v>
      </c>
      <c r="I245" s="160"/>
      <c r="J245" s="166">
        <f>IF(E245&gt;0,L235/E245,0)</f>
        <v>0</v>
      </c>
      <c r="K245" s="120"/>
      <c r="L245" s="165">
        <f>IF(G$246&gt;E$249,J245*H245,J245*G245)</f>
        <v>0</v>
      </c>
      <c r="M245" s="143"/>
      <c r="N245" s="164">
        <v>0</v>
      </c>
      <c r="O245" s="157"/>
      <c r="P245" s="164">
        <f>IF(N245="","",N245-L245)</f>
        <v>0</v>
      </c>
    </row>
    <row r="246" spans="1:21" ht="15.75" thickBot="1">
      <c r="A246" s="105"/>
      <c r="B246" s="115">
        <f>+B245+1</f>
        <v>150</v>
      </c>
      <c r="C246" s="114"/>
      <c r="D246" s="155" t="str">
        <f>"Avg Common Stock  (ln "&amp;B241&amp;") (Note U)"</f>
        <v>Avg Common Stock  (ln 146) (Note U)</v>
      </c>
      <c r="E246" s="163">
        <f>+L241</f>
        <v>1069537272</v>
      </c>
      <c r="G246" s="162">
        <f>IF($E$247&gt;0,E246/$E$247,0)</f>
        <v>0.47783177645156649</v>
      </c>
      <c r="H246" s="161">
        <f>IF(G246&gt;E249,E249,0)</f>
        <v>0</v>
      </c>
      <c r="I246" s="160"/>
      <c r="J246" s="159">
        <v>0.112</v>
      </c>
      <c r="K246" s="120"/>
      <c r="L246" s="158">
        <f>IF(G$246&gt;E$249,J246*H246,J246*G246)</f>
        <v>5.3517158962575445E-2</v>
      </c>
      <c r="M246" s="143"/>
      <c r="N246" s="156">
        <v>5.3517158962575445E-2</v>
      </c>
      <c r="O246" s="157"/>
      <c r="P246" s="156">
        <f>IF(N246="","",N246-L246)</f>
        <v>0</v>
      </c>
    </row>
    <row r="247" spans="1:21" ht="15.75">
      <c r="A247" s="105"/>
      <c r="B247" s="115">
        <f>+B246+1</f>
        <v>151</v>
      </c>
      <c r="C247" s="114"/>
      <c r="D247" s="155" t="str">
        <f>"  Total  (sum lns "&amp;B244&amp;" to "&amp;B246&amp;")"</f>
        <v xml:space="preserve">  Total  (sum lns 148 to 150)</v>
      </c>
      <c r="E247" s="154">
        <f>E246+E245+E244</f>
        <v>2238313408</v>
      </c>
      <c r="G247" s="131" t="s">
        <v>288</v>
      </c>
      <c r="I247" s="131"/>
      <c r="J247" s="143"/>
      <c r="K247" s="153" t="s">
        <v>339</v>
      </c>
      <c r="L247" s="152">
        <f>SUM(L244:L246)</f>
        <v>8.0916095045792613E-2</v>
      </c>
      <c r="M247" s="143"/>
      <c r="N247" s="150">
        <v>8.0916095045792613E-2</v>
      </c>
      <c r="O247" s="151"/>
      <c r="P247" s="150">
        <f>IF(N247="","",N247-L247)</f>
        <v>0</v>
      </c>
    </row>
    <row r="248" spans="1:21">
      <c r="A248" s="105"/>
      <c r="B248" s="149"/>
      <c r="C248" s="108"/>
      <c r="D248" s="108"/>
      <c r="E248" s="143"/>
      <c r="F248" s="143"/>
      <c r="G248" s="143"/>
      <c r="H248" s="143"/>
      <c r="I248" s="143"/>
      <c r="J248" s="129"/>
      <c r="K248" s="129"/>
      <c r="L248" s="129"/>
      <c r="M248" s="143"/>
      <c r="N248" s="108"/>
      <c r="O248" s="111"/>
      <c r="P248" s="111"/>
      <c r="Q248" s="111"/>
      <c r="R248" s="111"/>
      <c r="S248" s="111"/>
      <c r="T248" s="111"/>
      <c r="U248" s="111"/>
    </row>
    <row r="249" spans="1:21">
      <c r="A249" s="105"/>
      <c r="B249" s="134">
        <f>+B247+1</f>
        <v>152</v>
      </c>
      <c r="C249" s="108"/>
      <c r="D249" s="148" t="s">
        <v>338</v>
      </c>
      <c r="E249" s="147">
        <f>+'[4]OKT Historic TCOS'!E262</f>
        <v>0.52500000000000002</v>
      </c>
      <c r="F249" s="143"/>
      <c r="G249" s="146"/>
      <c r="H249" s="143"/>
      <c r="I249" s="143"/>
      <c r="J249" s="131"/>
      <c r="K249" s="125"/>
      <c r="L249" s="131"/>
      <c r="M249" s="143"/>
      <c r="N249" s="108"/>
      <c r="O249" s="111"/>
      <c r="P249" s="111"/>
      <c r="Q249" s="111"/>
      <c r="R249" s="111"/>
      <c r="S249" s="111"/>
      <c r="T249" s="111"/>
      <c r="U249" s="111"/>
    </row>
    <row r="250" spans="1:21" s="105" customFormat="1">
      <c r="B250" s="115"/>
      <c r="C250" s="143"/>
      <c r="D250" s="143"/>
      <c r="E250" s="143"/>
      <c r="F250" s="143"/>
      <c r="G250" s="143"/>
      <c r="H250" s="143"/>
      <c r="I250" s="143"/>
      <c r="J250" s="131"/>
      <c r="K250" s="125"/>
      <c r="L250" s="131"/>
      <c r="M250" s="143"/>
      <c r="N250" s="143"/>
      <c r="O250" s="111"/>
      <c r="P250" s="111"/>
      <c r="Q250" s="111"/>
      <c r="R250" s="111"/>
      <c r="S250" s="111"/>
      <c r="T250" s="111"/>
      <c r="U250" s="111"/>
    </row>
    <row r="251" spans="1:21" ht="15.75">
      <c r="B251" s="134"/>
      <c r="C251" s="133"/>
      <c r="D251" s="145"/>
      <c r="E251" s="145"/>
      <c r="F251" s="140" t="str">
        <f>F186</f>
        <v xml:space="preserve">AEP West SPP Member Companies </v>
      </c>
      <c r="G251" s="144"/>
      <c r="H251" s="139"/>
      <c r="I251" s="139"/>
      <c r="J251" s="139"/>
      <c r="K251" s="138"/>
      <c r="L251" s="139"/>
      <c r="M251" s="143"/>
      <c r="N251" s="108"/>
      <c r="O251" s="111"/>
      <c r="P251" s="111"/>
      <c r="Q251" s="111"/>
      <c r="R251" s="111"/>
      <c r="S251" s="111"/>
      <c r="T251" s="111"/>
      <c r="U251" s="111"/>
    </row>
    <row r="252" spans="1:21">
      <c r="B252" s="134"/>
      <c r="C252" s="133"/>
      <c r="D252" s="142"/>
      <c r="E252" s="133"/>
      <c r="F252" s="140" t="str">
        <f>F187</f>
        <v>Transmission Cost of Service Formula Rate</v>
      </c>
      <c r="G252" s="139"/>
      <c r="H252" s="139"/>
      <c r="I252" s="139"/>
      <c r="J252" s="139"/>
      <c r="K252" s="138"/>
      <c r="L252" s="136"/>
      <c r="M252" s="108"/>
      <c r="N252" s="108"/>
      <c r="O252" s="111"/>
      <c r="P252" s="111"/>
      <c r="Q252" s="111"/>
      <c r="R252" s="111"/>
      <c r="S252" s="111"/>
      <c r="T252" s="111"/>
      <c r="U252" s="111"/>
    </row>
    <row r="253" spans="1:21" ht="15.75">
      <c r="B253" s="134"/>
      <c r="C253" s="133"/>
      <c r="D253" s="142"/>
      <c r="E253" s="141"/>
      <c r="F253" s="140" t="str">
        <f>F188</f>
        <v>Utilizing Actual Cost Data for 2015 with Average Ratebase Balances</v>
      </c>
      <c r="G253" s="139"/>
      <c r="H253" s="139"/>
      <c r="I253" s="139"/>
      <c r="J253" s="139"/>
      <c r="K253" s="138"/>
      <c r="L253" s="136"/>
      <c r="M253" s="108"/>
      <c r="N253" s="108"/>
      <c r="O253" s="111"/>
      <c r="P253" s="111"/>
      <c r="Q253" s="111"/>
      <c r="R253" s="111"/>
      <c r="S253" s="111"/>
      <c r="T253" s="111"/>
      <c r="U253" s="111"/>
    </row>
    <row r="254" spans="1:21" ht="15.75">
      <c r="B254" s="134"/>
      <c r="C254" s="133"/>
      <c r="D254" s="142"/>
      <c r="E254" s="141"/>
      <c r="F254" s="140"/>
      <c r="G254" s="139"/>
      <c r="H254" s="139"/>
      <c r="I254" s="139"/>
      <c r="J254" s="139"/>
      <c r="K254" s="138"/>
      <c r="L254" s="136"/>
      <c r="M254" s="108"/>
      <c r="N254" s="108"/>
      <c r="O254" s="111"/>
      <c r="P254" s="111"/>
      <c r="Q254" s="111"/>
      <c r="R254" s="111"/>
      <c r="S254" s="111"/>
      <c r="T254" s="111"/>
      <c r="U254" s="111"/>
    </row>
    <row r="255" spans="1:21" ht="15.75">
      <c r="B255" s="134"/>
      <c r="C255" s="133"/>
      <c r="D255" s="142"/>
      <c r="E255" s="141"/>
      <c r="F255" s="140" t="str">
        <f>F190</f>
        <v>AEP OKLAHOMA TRANSMISSION COMPANY, INC</v>
      </c>
      <c r="G255" s="139"/>
      <c r="H255" s="139"/>
      <c r="I255" s="139"/>
      <c r="J255" s="139"/>
      <c r="K255" s="138"/>
      <c r="L255" s="136"/>
      <c r="M255" s="108"/>
      <c r="N255" s="108"/>
      <c r="O255" s="111"/>
      <c r="P255" s="111"/>
      <c r="Q255" s="111"/>
      <c r="R255" s="111"/>
      <c r="S255" s="111"/>
      <c r="T255" s="111"/>
      <c r="U255" s="111"/>
    </row>
    <row r="256" spans="1:21" ht="15.75">
      <c r="B256" s="134"/>
      <c r="C256" s="133"/>
      <c r="D256" s="142"/>
      <c r="E256" s="141"/>
      <c r="F256" s="140"/>
      <c r="G256" s="139"/>
      <c r="H256" s="139"/>
      <c r="I256" s="139"/>
      <c r="J256" s="139"/>
      <c r="K256" s="138"/>
      <c r="L256" s="136"/>
      <c r="M256" s="108"/>
      <c r="N256" s="108"/>
      <c r="O256" s="111"/>
      <c r="P256" s="111"/>
      <c r="Q256" s="111"/>
      <c r="R256" s="111"/>
      <c r="S256" s="111"/>
      <c r="T256" s="111"/>
      <c r="U256" s="111"/>
    </row>
    <row r="257" spans="2:21" ht="15.75">
      <c r="B257" s="137" t="s">
        <v>337</v>
      </c>
      <c r="C257" s="132"/>
      <c r="D257" s="119"/>
      <c r="E257" s="125"/>
      <c r="F257" s="137" t="s">
        <v>336</v>
      </c>
      <c r="G257" s="131"/>
      <c r="H257" s="131"/>
      <c r="I257" s="131"/>
      <c r="J257" s="131"/>
      <c r="K257" s="125"/>
      <c r="L257" s="131"/>
      <c r="M257" s="108"/>
      <c r="N257" s="108"/>
      <c r="O257" s="111"/>
      <c r="P257" s="111"/>
      <c r="Q257" s="111"/>
      <c r="R257" s="111"/>
      <c r="S257" s="111"/>
      <c r="T257" s="111"/>
      <c r="U257" s="111"/>
    </row>
    <row r="258" spans="2:21">
      <c r="C258" s="132"/>
      <c r="L258" s="136"/>
      <c r="M258" s="108"/>
      <c r="N258" s="108"/>
      <c r="O258" s="111"/>
      <c r="P258" s="111"/>
      <c r="Q258" s="111"/>
      <c r="R258" s="111"/>
      <c r="S258" s="111"/>
      <c r="T258" s="111"/>
      <c r="U258" s="111"/>
    </row>
    <row r="259" spans="2:21">
      <c r="C259" s="132"/>
      <c r="D259" s="135" t="s">
        <v>335</v>
      </c>
      <c r="J259" s="118"/>
      <c r="K259" s="108"/>
      <c r="L259" s="108"/>
      <c r="M259" s="108"/>
      <c r="N259" s="108"/>
      <c r="O259" s="111"/>
      <c r="P259" s="111"/>
      <c r="Q259" s="111"/>
      <c r="R259" s="111"/>
      <c r="S259" s="111"/>
      <c r="T259" s="111"/>
      <c r="U259" s="111"/>
    </row>
    <row r="260" spans="2:21">
      <c r="B260" s="134"/>
      <c r="C260" s="133"/>
      <c r="D260" s="105" t="s">
        <v>334</v>
      </c>
      <c r="E260" s="114"/>
      <c r="F260" s="114"/>
      <c r="G260" s="131"/>
      <c r="H260" s="131"/>
      <c r="I260" s="131"/>
      <c r="J260" s="126"/>
      <c r="K260" s="108"/>
      <c r="L260" s="108"/>
      <c r="M260" s="108"/>
      <c r="N260" s="108"/>
      <c r="O260" s="111"/>
      <c r="P260" s="111"/>
      <c r="Q260" s="111"/>
      <c r="R260" s="111"/>
      <c r="S260" s="111"/>
      <c r="T260" s="111"/>
      <c r="U260" s="111"/>
    </row>
    <row r="261" spans="2:21">
      <c r="B261" s="104"/>
      <c r="D261" s="119" t="s">
        <v>333</v>
      </c>
      <c r="E261" s="125"/>
      <c r="F261" s="125"/>
      <c r="G261" s="131"/>
      <c r="H261" s="131"/>
      <c r="I261" s="131"/>
      <c r="J261" s="126"/>
      <c r="K261" s="108"/>
      <c r="L261" s="108"/>
      <c r="M261" s="108"/>
      <c r="N261" s="108"/>
      <c r="O261" s="111"/>
      <c r="P261" s="111"/>
      <c r="Q261" s="111"/>
      <c r="R261" s="111"/>
      <c r="S261" s="111"/>
      <c r="T261" s="111"/>
      <c r="U261" s="111"/>
    </row>
    <row r="262" spans="2:21">
      <c r="B262" s="104"/>
      <c r="D262" s="119"/>
      <c r="E262" s="125"/>
      <c r="F262" s="125"/>
      <c r="G262" s="131"/>
      <c r="H262" s="131"/>
      <c r="I262" s="131"/>
      <c r="J262" s="126"/>
      <c r="K262" s="108"/>
      <c r="L262" s="108"/>
      <c r="M262" s="108"/>
      <c r="N262" s="108"/>
      <c r="O262" s="111"/>
      <c r="P262" s="111"/>
      <c r="Q262" s="111"/>
      <c r="R262" s="111"/>
      <c r="S262" s="111"/>
      <c r="T262" s="111"/>
      <c r="U262" s="111"/>
    </row>
    <row r="263" spans="2:21">
      <c r="B263" s="123" t="s">
        <v>332</v>
      </c>
      <c r="C263" s="132"/>
      <c r="D263" s="119" t="s">
        <v>331</v>
      </c>
      <c r="E263" s="125"/>
      <c r="F263" s="125"/>
      <c r="G263" s="131"/>
      <c r="H263" s="131"/>
      <c r="I263" s="131"/>
      <c r="J263" s="126"/>
      <c r="K263" s="108"/>
      <c r="L263" s="108"/>
      <c r="M263" s="108"/>
      <c r="N263" s="108"/>
      <c r="O263" s="111"/>
      <c r="P263" s="111"/>
      <c r="Q263" s="111"/>
      <c r="R263" s="111"/>
      <c r="S263" s="111"/>
      <c r="T263" s="111"/>
      <c r="U263" s="111"/>
    </row>
    <row r="264" spans="2:21">
      <c r="B264" s="123"/>
      <c r="C264" s="122"/>
      <c r="D264" s="119" t="s">
        <v>330</v>
      </c>
      <c r="E264" s="125"/>
      <c r="F264" s="125"/>
      <c r="G264" s="125"/>
      <c r="H264" s="125"/>
      <c r="I264" s="125"/>
      <c r="J264" s="124"/>
      <c r="K264" s="108"/>
      <c r="L264" s="108"/>
      <c r="M264" s="108"/>
      <c r="N264" s="108"/>
      <c r="O264" s="111"/>
      <c r="P264" s="111"/>
      <c r="Q264" s="111"/>
      <c r="R264" s="111"/>
      <c r="S264" s="111"/>
      <c r="T264" s="111"/>
      <c r="U264" s="111"/>
    </row>
    <row r="265" spans="2:21">
      <c r="B265" s="121"/>
      <c r="C265" s="120"/>
      <c r="D265" s="119" t="s">
        <v>329</v>
      </c>
      <c r="E265" s="127"/>
      <c r="F265" s="127"/>
      <c r="G265" s="125"/>
      <c r="H265" s="125"/>
      <c r="I265" s="125"/>
      <c r="J265" s="124"/>
      <c r="K265" s="108"/>
      <c r="L265" s="108"/>
      <c r="M265" s="108"/>
      <c r="N265" s="108"/>
      <c r="O265" s="111"/>
      <c r="P265" s="111"/>
      <c r="Q265" s="111"/>
      <c r="R265" s="111"/>
      <c r="S265" s="111"/>
      <c r="T265" s="111"/>
      <c r="U265" s="111"/>
    </row>
    <row r="266" spans="2:21">
      <c r="B266" s="121"/>
      <c r="C266" s="120"/>
      <c r="D266" s="119" t="s">
        <v>328</v>
      </c>
      <c r="E266" s="125"/>
      <c r="F266" s="125"/>
      <c r="G266" s="125"/>
      <c r="H266" s="125"/>
      <c r="I266" s="125"/>
      <c r="J266" s="124"/>
      <c r="K266" s="108"/>
      <c r="L266" s="108"/>
      <c r="M266" s="108"/>
      <c r="N266" s="108"/>
      <c r="O266" s="111"/>
      <c r="P266" s="111"/>
      <c r="Q266" s="111"/>
      <c r="R266" s="111"/>
      <c r="S266" s="111"/>
      <c r="T266" s="111"/>
      <c r="U266" s="111"/>
    </row>
    <row r="267" spans="2:21">
      <c r="B267" s="115"/>
      <c r="C267" s="114"/>
      <c r="D267" s="119" t="s">
        <v>327</v>
      </c>
      <c r="E267" s="125"/>
      <c r="F267" s="125"/>
      <c r="G267" s="125"/>
      <c r="H267" s="125"/>
      <c r="I267" s="125"/>
      <c r="J267" s="124"/>
      <c r="K267" s="108"/>
      <c r="L267" s="108"/>
      <c r="M267" s="108"/>
      <c r="N267" s="108"/>
      <c r="O267" s="111"/>
      <c r="P267" s="111"/>
      <c r="Q267" s="111"/>
      <c r="R267" s="111"/>
      <c r="S267" s="111"/>
      <c r="T267" s="111"/>
      <c r="U267" s="111"/>
    </row>
    <row r="268" spans="2:21" ht="15" customHeight="1">
      <c r="B268" s="115"/>
      <c r="C268" s="114"/>
      <c r="D268" s="119"/>
      <c r="E268" s="125"/>
      <c r="F268" s="125"/>
      <c r="G268" s="125"/>
      <c r="H268" s="125"/>
      <c r="I268" s="125"/>
      <c r="J268" s="124"/>
      <c r="K268" s="108"/>
      <c r="L268" s="108"/>
      <c r="M268" s="108"/>
      <c r="N268" s="108"/>
      <c r="O268" s="111"/>
      <c r="P268" s="111"/>
      <c r="Q268" s="111"/>
      <c r="R268" s="111"/>
      <c r="S268" s="111"/>
      <c r="T268" s="111"/>
      <c r="U268" s="111"/>
    </row>
    <row r="269" spans="2:21">
      <c r="B269" s="115" t="s">
        <v>326</v>
      </c>
      <c r="C269" s="114"/>
      <c r="D269" s="130" t="s">
        <v>325</v>
      </c>
      <c r="E269" s="125"/>
      <c r="F269" s="125"/>
      <c r="G269" s="125"/>
      <c r="H269" s="125"/>
      <c r="I269" s="125"/>
      <c r="J269" s="124"/>
      <c r="K269" s="108"/>
      <c r="L269" s="108"/>
      <c r="M269" s="108"/>
      <c r="N269" s="108"/>
      <c r="O269" s="111"/>
      <c r="P269" s="111"/>
      <c r="Q269" s="111"/>
      <c r="R269" s="111"/>
      <c r="S269" s="111"/>
      <c r="T269" s="111"/>
      <c r="U269" s="111"/>
    </row>
    <row r="270" spans="2:21">
      <c r="B270" s="115"/>
      <c r="C270" s="114"/>
      <c r="D270" s="130"/>
      <c r="E270" s="125"/>
      <c r="F270" s="125"/>
      <c r="G270" s="125"/>
      <c r="H270" s="125"/>
      <c r="I270" s="125"/>
      <c r="J270" s="124"/>
      <c r="K270" s="108"/>
      <c r="L270" s="108"/>
      <c r="M270" s="108"/>
      <c r="N270" s="108"/>
      <c r="O270" s="111"/>
      <c r="P270" s="111"/>
      <c r="Q270" s="111"/>
      <c r="R270" s="111"/>
      <c r="S270" s="111"/>
      <c r="T270" s="111"/>
      <c r="U270" s="111"/>
    </row>
    <row r="271" spans="2:21">
      <c r="B271" s="115" t="s">
        <v>324</v>
      </c>
      <c r="C271" s="114"/>
      <c r="D271" s="129" t="s">
        <v>323</v>
      </c>
      <c r="E271" s="125"/>
      <c r="F271" s="125"/>
      <c r="G271" s="125"/>
      <c r="H271" s="125"/>
      <c r="I271" s="125"/>
      <c r="J271" s="124"/>
      <c r="K271" s="108"/>
      <c r="L271" s="108"/>
      <c r="M271" s="108"/>
      <c r="N271" s="108"/>
      <c r="O271" s="111"/>
      <c r="P271" s="111"/>
      <c r="Q271" s="111"/>
      <c r="R271" s="111"/>
      <c r="S271" s="111"/>
      <c r="T271" s="111"/>
      <c r="U271" s="111"/>
    </row>
    <row r="272" spans="2:21">
      <c r="B272" s="115"/>
      <c r="C272" s="114"/>
      <c r="D272" s="129" t="str">
        <f>"of the trued-up revenue requirement for each project, based on an FCR rate caclulated from inputs on this TCOS. Line "&amp;B35&amp;" shows the incremental ARR for"</f>
        <v>of the trued-up revenue requirement for each project, based on an FCR rate caclulated from inputs on this TCOS. Line 15 shows the incremental ARR for</v>
      </c>
      <c r="E272" s="125"/>
      <c r="F272" s="125"/>
      <c r="G272" s="125"/>
      <c r="H272" s="125"/>
      <c r="I272" s="125"/>
      <c r="J272" s="124"/>
      <c r="K272" s="108"/>
      <c r="L272" s="108"/>
      <c r="M272" s="108"/>
      <c r="N272" s="108"/>
      <c r="O272" s="111"/>
      <c r="P272" s="111"/>
      <c r="Q272" s="111"/>
      <c r="R272" s="111"/>
      <c r="S272" s="111"/>
      <c r="T272" s="111"/>
      <c r="U272" s="111"/>
    </row>
    <row r="273" spans="2:21">
      <c r="B273" s="115"/>
      <c r="C273" s="114"/>
      <c r="D273" s="129" t="s">
        <v>322</v>
      </c>
      <c r="E273" s="125"/>
      <c r="F273" s="125"/>
      <c r="G273" s="125"/>
      <c r="H273" s="125"/>
      <c r="I273" s="125"/>
      <c r="J273" s="124"/>
      <c r="K273" s="108"/>
      <c r="L273" s="108"/>
      <c r="M273" s="108"/>
      <c r="N273" s="108"/>
      <c r="O273" s="111"/>
      <c r="P273" s="119"/>
      <c r="Q273" s="119"/>
      <c r="R273" s="111"/>
      <c r="S273" s="111"/>
      <c r="T273" s="111"/>
      <c r="U273" s="111"/>
    </row>
    <row r="274" spans="2:21">
      <c r="B274" s="115"/>
      <c r="C274" s="114"/>
      <c r="D274" s="129"/>
      <c r="E274" s="125"/>
      <c r="F274" s="125"/>
      <c r="G274" s="125"/>
      <c r="H274" s="125"/>
      <c r="I274" s="125"/>
      <c r="J274" s="124"/>
      <c r="K274" s="108"/>
      <c r="L274" s="108"/>
      <c r="M274" s="108"/>
      <c r="N274" s="108"/>
      <c r="O274" s="111"/>
      <c r="P274" s="119"/>
      <c r="Q274" s="119"/>
      <c r="R274" s="111"/>
      <c r="S274" s="111"/>
      <c r="T274" s="111"/>
      <c r="U274" s="111"/>
    </row>
    <row r="275" spans="2:21">
      <c r="B275" s="115" t="s">
        <v>321</v>
      </c>
      <c r="C275" s="114"/>
      <c r="D275" s="473" t="s">
        <v>320</v>
      </c>
      <c r="E275" s="474"/>
      <c r="F275" s="474"/>
      <c r="G275" s="474"/>
      <c r="H275" s="474"/>
      <c r="I275" s="474"/>
      <c r="J275" s="474"/>
      <c r="K275" s="108"/>
      <c r="L275" s="108"/>
      <c r="M275" s="108"/>
      <c r="N275" s="108"/>
      <c r="O275" s="111"/>
      <c r="P275" s="119"/>
      <c r="Q275" s="119"/>
      <c r="R275" s="111"/>
      <c r="S275" s="111"/>
      <c r="T275" s="111"/>
      <c r="U275" s="111"/>
    </row>
    <row r="276" spans="2:21">
      <c r="B276" s="115"/>
      <c r="C276" s="114"/>
      <c r="D276" s="474"/>
      <c r="E276" s="474"/>
      <c r="F276" s="474"/>
      <c r="G276" s="474"/>
      <c r="H276" s="474"/>
      <c r="I276" s="474"/>
      <c r="J276" s="474"/>
      <c r="K276" s="108"/>
      <c r="L276" s="108"/>
      <c r="M276" s="108"/>
      <c r="N276" s="108"/>
      <c r="O276" s="111"/>
      <c r="P276" s="119"/>
      <c r="Q276" s="111"/>
      <c r="R276" s="111"/>
      <c r="S276" s="111"/>
      <c r="T276" s="111"/>
      <c r="U276" s="111"/>
    </row>
    <row r="277" spans="2:21">
      <c r="B277" s="115"/>
      <c r="C277" s="114"/>
      <c r="E277" s="125"/>
      <c r="F277" s="125"/>
      <c r="G277" s="125"/>
      <c r="H277" s="125"/>
      <c r="I277" s="125"/>
      <c r="J277" s="124"/>
      <c r="K277" s="108"/>
      <c r="L277" s="108"/>
      <c r="M277" s="108"/>
      <c r="N277" s="108"/>
      <c r="O277" s="111"/>
      <c r="P277" s="111"/>
      <c r="Q277" s="111"/>
      <c r="R277" s="111"/>
      <c r="S277" s="111"/>
      <c r="T277" s="111"/>
      <c r="U277" s="111"/>
    </row>
    <row r="278" spans="2:21">
      <c r="B278" s="115" t="s">
        <v>319</v>
      </c>
      <c r="C278" s="114"/>
      <c r="D278" s="119" t="s">
        <v>318</v>
      </c>
      <c r="E278" s="125"/>
      <c r="F278" s="125"/>
      <c r="G278" s="125"/>
      <c r="H278" s="125"/>
      <c r="I278" s="125"/>
      <c r="J278" s="124"/>
      <c r="K278" s="108"/>
      <c r="L278" s="108"/>
      <c r="M278" s="108"/>
      <c r="N278" s="108"/>
      <c r="O278" s="111"/>
      <c r="P278" s="111"/>
      <c r="Q278" s="111"/>
      <c r="R278" s="111"/>
      <c r="S278" s="111"/>
      <c r="T278" s="111"/>
      <c r="U278" s="111"/>
    </row>
    <row r="279" spans="2:21">
      <c r="B279" s="115"/>
      <c r="C279" s="114"/>
      <c r="D279" s="119" t="s">
        <v>317</v>
      </c>
      <c r="E279" s="125"/>
      <c r="F279" s="125"/>
      <c r="G279" s="125"/>
      <c r="H279" s="125"/>
      <c r="I279" s="125"/>
      <c r="J279" s="124"/>
      <c r="K279" s="108"/>
      <c r="L279" s="108"/>
      <c r="M279" s="108"/>
      <c r="N279" s="108"/>
      <c r="O279" s="111"/>
      <c r="P279" s="111"/>
      <c r="Q279" s="111"/>
      <c r="R279" s="111"/>
      <c r="S279" s="111"/>
      <c r="T279" s="111"/>
      <c r="U279" s="111"/>
    </row>
    <row r="280" spans="2:21">
      <c r="C280" s="114"/>
      <c r="D280" s="119" t="s">
        <v>316</v>
      </c>
      <c r="E280" s="125"/>
      <c r="F280" s="125"/>
      <c r="G280" s="125"/>
      <c r="H280" s="125"/>
      <c r="I280" s="125"/>
      <c r="J280" s="124"/>
      <c r="K280" s="108"/>
      <c r="L280" s="108"/>
      <c r="M280" s="108"/>
      <c r="N280" s="108"/>
      <c r="O280" s="111"/>
      <c r="P280" s="111"/>
      <c r="Q280" s="111"/>
      <c r="R280" s="111"/>
      <c r="S280" s="111"/>
      <c r="T280" s="111"/>
      <c r="U280" s="111"/>
    </row>
    <row r="281" spans="2:21">
      <c r="B281" s="115"/>
      <c r="C281" s="114"/>
      <c r="D281" s="119" t="s">
        <v>315</v>
      </c>
      <c r="E281" s="125"/>
      <c r="F281" s="125"/>
      <c r="G281" s="125"/>
      <c r="H281" s="125"/>
      <c r="I281" s="125"/>
      <c r="J281" s="124"/>
      <c r="K281" s="108"/>
      <c r="L281" s="108"/>
      <c r="M281" s="108"/>
      <c r="N281" s="108"/>
      <c r="O281" s="111"/>
      <c r="P281" s="111"/>
      <c r="Q281" s="111"/>
      <c r="R281" s="111"/>
      <c r="S281" s="111"/>
      <c r="T281" s="111"/>
      <c r="U281" s="111"/>
    </row>
    <row r="282" spans="2:21">
      <c r="B282" s="115"/>
      <c r="C282" s="114"/>
      <c r="D282" s="119"/>
      <c r="E282" s="125"/>
      <c r="F282" s="125"/>
      <c r="G282" s="125"/>
      <c r="H282" s="125"/>
      <c r="I282" s="125"/>
      <c r="J282" s="124"/>
      <c r="K282" s="108"/>
      <c r="L282" s="108"/>
      <c r="M282" s="108"/>
      <c r="N282" s="108"/>
      <c r="O282" s="111"/>
      <c r="P282" s="111"/>
      <c r="Q282" s="111"/>
      <c r="R282" s="111"/>
      <c r="S282" s="111"/>
      <c r="T282" s="111"/>
      <c r="U282" s="111"/>
    </row>
    <row r="283" spans="2:21">
      <c r="B283" s="115" t="s">
        <v>314</v>
      </c>
      <c r="C283" s="114"/>
      <c r="D283" s="119" t="s">
        <v>313</v>
      </c>
      <c r="E283" s="125"/>
      <c r="F283" s="125"/>
      <c r="G283" s="125"/>
      <c r="H283" s="125"/>
      <c r="I283" s="125"/>
      <c r="J283" s="124"/>
      <c r="K283" s="108"/>
      <c r="L283" s="108"/>
      <c r="M283" s="108"/>
      <c r="N283" s="108"/>
      <c r="O283" s="111"/>
      <c r="P283" s="111"/>
      <c r="Q283" s="111"/>
      <c r="R283" s="111"/>
      <c r="S283" s="111"/>
      <c r="T283" s="111"/>
      <c r="U283" s="111"/>
    </row>
    <row r="284" spans="2:21">
      <c r="B284" s="115"/>
      <c r="C284" s="114"/>
      <c r="D284" s="119"/>
      <c r="E284" s="125"/>
      <c r="F284" s="125"/>
      <c r="G284" s="125"/>
      <c r="H284" s="125"/>
      <c r="I284" s="125"/>
      <c r="J284" s="124"/>
      <c r="K284" s="108"/>
      <c r="L284" s="108"/>
      <c r="M284" s="108"/>
      <c r="N284" s="108"/>
      <c r="O284" s="111"/>
      <c r="P284" s="111"/>
      <c r="Q284" s="111"/>
      <c r="R284" s="111"/>
      <c r="S284" s="111"/>
      <c r="T284" s="111"/>
      <c r="U284" s="111"/>
    </row>
    <row r="285" spans="2:21">
      <c r="B285" s="115" t="s">
        <v>312</v>
      </c>
      <c r="C285" s="114"/>
      <c r="D285" s="119" t="str">
        <f>"Cash Working Capital assigned to transmission is one-eighth of O&amp;M allocated to transmission on line "&amp;B130&amp;"."</f>
        <v>Cash Working Capital assigned to transmission is one-eighth of O&amp;M allocated to transmission on line 68.</v>
      </c>
      <c r="E285" s="125"/>
      <c r="F285" s="125"/>
      <c r="G285" s="125"/>
      <c r="H285" s="125"/>
      <c r="I285" s="125"/>
      <c r="J285" s="124"/>
      <c r="K285" s="108"/>
      <c r="L285" s="108"/>
      <c r="M285" s="108"/>
      <c r="N285" s="108"/>
      <c r="O285" s="111"/>
      <c r="P285" s="111"/>
      <c r="Q285" s="111"/>
      <c r="R285" s="111"/>
      <c r="S285" s="111"/>
      <c r="T285" s="111"/>
      <c r="U285" s="111"/>
    </row>
    <row r="286" spans="2:21">
      <c r="B286" s="115"/>
      <c r="C286" s="114"/>
      <c r="D286" s="119"/>
      <c r="E286" s="125"/>
      <c r="F286" s="125"/>
      <c r="G286" s="125"/>
      <c r="H286" s="125"/>
      <c r="I286" s="125"/>
      <c r="J286" s="124"/>
      <c r="K286" s="108"/>
      <c r="L286" s="108"/>
      <c r="M286" s="108"/>
      <c r="N286" s="108"/>
      <c r="O286" s="111"/>
      <c r="P286" s="111"/>
      <c r="Q286" s="111"/>
      <c r="R286" s="111"/>
      <c r="S286" s="111"/>
      <c r="T286" s="111"/>
      <c r="U286" s="111"/>
    </row>
    <row r="287" spans="2:21">
      <c r="B287" s="123" t="s">
        <v>311</v>
      </c>
      <c r="C287" s="122"/>
      <c r="D287" s="120" t="str">
        <f>"Consistent with Paragraph 657 of Order 2003-A, the amount on line "&amp;B109&amp;" is equal to the balance of IPP System Upgrade Credits owed to transmission customers that"</f>
        <v>Consistent with Paragraph 657 of Order 2003-A, the amount on line 62 is equal to the balance of IPP System Upgrade Credits owed to transmission customers that</v>
      </c>
      <c r="E287" s="120"/>
      <c r="F287" s="120"/>
      <c r="G287" s="120"/>
      <c r="H287" s="120"/>
      <c r="I287" s="120"/>
      <c r="J287" s="126"/>
      <c r="K287" s="108"/>
      <c r="L287" s="108"/>
      <c r="M287" s="108"/>
      <c r="N287" s="108"/>
      <c r="O287" s="111"/>
      <c r="P287" s="111"/>
      <c r="Q287" s="111"/>
      <c r="R287" s="111"/>
      <c r="S287" s="111"/>
      <c r="T287" s="111"/>
      <c r="U287" s="111"/>
    </row>
    <row r="288" spans="2:21">
      <c r="B288" s="121"/>
      <c r="C288" s="120"/>
      <c r="D288" s="120" t="s">
        <v>310</v>
      </c>
      <c r="E288" s="120"/>
      <c r="F288" s="120"/>
      <c r="G288" s="120"/>
      <c r="H288" s="120"/>
      <c r="I288" s="120"/>
      <c r="J288" s="126"/>
      <c r="K288" s="108"/>
      <c r="L288" s="108"/>
      <c r="M288" s="108"/>
      <c r="N288" s="108"/>
      <c r="O288" s="111"/>
      <c r="P288" s="111"/>
      <c r="Q288" s="111"/>
      <c r="R288" s="111"/>
      <c r="S288" s="111"/>
      <c r="T288" s="111"/>
      <c r="U288" s="111"/>
    </row>
    <row r="289" spans="2:21">
      <c r="B289" s="121"/>
      <c r="C289" s="120"/>
      <c r="D289" s="120" t="str">
        <f>"expense is included on line "&amp;B176&amp;"."</f>
        <v>expense is included on line 105.</v>
      </c>
      <c r="E289" s="120"/>
      <c r="F289" s="120"/>
      <c r="G289" s="120"/>
      <c r="H289" s="120"/>
      <c r="I289" s="120"/>
      <c r="J289" s="126"/>
      <c r="K289" s="108"/>
      <c r="L289" s="108"/>
      <c r="M289" s="108"/>
      <c r="N289" s="108"/>
      <c r="O289" s="111"/>
      <c r="P289" s="111"/>
      <c r="Q289" s="111"/>
      <c r="R289" s="111"/>
      <c r="S289" s="111"/>
      <c r="T289" s="111"/>
      <c r="U289" s="111"/>
    </row>
    <row r="290" spans="2:21">
      <c r="B290" s="121"/>
      <c r="C290" s="120"/>
      <c r="D290" s="120"/>
      <c r="E290" s="120"/>
      <c r="F290" s="120"/>
      <c r="G290" s="120"/>
      <c r="H290" s="120"/>
      <c r="I290" s="120"/>
      <c r="J290" s="126"/>
      <c r="K290" s="108"/>
      <c r="L290" s="108"/>
      <c r="M290" s="108"/>
      <c r="N290" s="108"/>
      <c r="O290" s="111"/>
      <c r="P290" s="111"/>
      <c r="Q290" s="111"/>
      <c r="R290" s="111"/>
      <c r="S290" s="111"/>
      <c r="T290" s="111"/>
      <c r="U290" s="111"/>
    </row>
    <row r="291" spans="2:21">
      <c r="B291" s="123" t="s">
        <v>309</v>
      </c>
      <c r="C291" s="120"/>
      <c r="D291" s="119" t="s">
        <v>308</v>
      </c>
      <c r="E291" s="120"/>
      <c r="F291" s="120"/>
      <c r="G291" s="120"/>
      <c r="H291" s="120"/>
      <c r="I291" s="120"/>
      <c r="J291" s="126"/>
      <c r="K291" s="108"/>
      <c r="L291" s="108"/>
      <c r="M291" s="108"/>
      <c r="N291" s="108"/>
      <c r="O291" s="111"/>
      <c r="P291" s="111"/>
      <c r="Q291" s="111"/>
      <c r="R291" s="111"/>
      <c r="S291" s="111"/>
      <c r="T291" s="111"/>
      <c r="U291" s="111"/>
    </row>
    <row r="292" spans="2:21">
      <c r="B292" s="123"/>
      <c r="C292" s="120"/>
      <c r="D292" s="119"/>
      <c r="E292" s="120"/>
      <c r="F292" s="120"/>
      <c r="G292" s="120"/>
      <c r="H292" s="120"/>
      <c r="I292" s="120"/>
      <c r="J292" s="126"/>
      <c r="K292" s="108"/>
      <c r="L292" s="108"/>
      <c r="M292" s="108"/>
      <c r="N292" s="108"/>
      <c r="O292" s="111"/>
      <c r="P292" s="111"/>
      <c r="Q292" s="111"/>
      <c r="R292" s="111"/>
      <c r="S292" s="111"/>
      <c r="T292" s="111"/>
      <c r="U292" s="111"/>
    </row>
    <row r="293" spans="2:21">
      <c r="B293" s="123" t="s">
        <v>307</v>
      </c>
      <c r="C293" s="120"/>
      <c r="D293" s="120" t="s">
        <v>306</v>
      </c>
      <c r="E293" s="120"/>
      <c r="F293" s="120"/>
      <c r="G293" s="120"/>
      <c r="H293" s="120"/>
      <c r="I293" s="120"/>
      <c r="J293" s="126"/>
      <c r="K293" s="108"/>
      <c r="L293" s="108"/>
      <c r="M293" s="108"/>
      <c r="N293" s="108"/>
      <c r="O293" s="111"/>
      <c r="P293" s="111"/>
      <c r="Q293" s="111"/>
      <c r="R293" s="111"/>
      <c r="S293" s="111"/>
      <c r="T293" s="111"/>
      <c r="U293" s="111"/>
    </row>
    <row r="294" spans="2:21">
      <c r="B294" s="123"/>
      <c r="C294" s="120"/>
      <c r="D294" s="120"/>
      <c r="E294" s="120"/>
      <c r="F294" s="120"/>
      <c r="G294" s="120"/>
      <c r="H294" s="120"/>
      <c r="I294" s="120"/>
      <c r="J294" s="126"/>
      <c r="K294" s="108"/>
      <c r="L294" s="108"/>
      <c r="M294" s="108"/>
      <c r="N294" s="108"/>
      <c r="O294" s="111"/>
      <c r="P294" s="111"/>
      <c r="Q294" s="111"/>
      <c r="R294" s="111"/>
      <c r="S294" s="111"/>
      <c r="T294" s="111"/>
      <c r="U294" s="111"/>
    </row>
    <row r="295" spans="2:21">
      <c r="B295" s="115" t="s">
        <v>305</v>
      </c>
      <c r="C295" s="120"/>
      <c r="D295" s="120" t="s">
        <v>304</v>
      </c>
      <c r="E295" s="120"/>
      <c r="F295" s="120"/>
      <c r="G295" s="120"/>
      <c r="H295" s="120"/>
      <c r="I295" s="120"/>
      <c r="J295" s="126"/>
      <c r="K295" s="108"/>
      <c r="L295" s="108"/>
      <c r="M295" s="108"/>
      <c r="N295" s="108"/>
      <c r="O295" s="111"/>
      <c r="P295" s="111"/>
      <c r="Q295" s="111"/>
      <c r="R295" s="111"/>
      <c r="S295" s="111"/>
      <c r="T295" s="111"/>
      <c r="U295" s="111"/>
    </row>
    <row r="296" spans="2:21">
      <c r="B296" s="123"/>
      <c r="C296" s="120"/>
      <c r="D296" s="120"/>
      <c r="E296" s="120"/>
      <c r="F296" s="120"/>
      <c r="G296" s="120"/>
      <c r="H296" s="120"/>
      <c r="I296" s="120"/>
      <c r="J296" s="126"/>
      <c r="K296" s="108"/>
      <c r="L296" s="108"/>
      <c r="M296" s="108"/>
      <c r="N296" s="108"/>
      <c r="O296" s="111"/>
      <c r="P296" s="111"/>
      <c r="Q296" s="111"/>
      <c r="R296" s="111"/>
      <c r="S296" s="111"/>
      <c r="T296" s="111"/>
      <c r="U296" s="111"/>
    </row>
    <row r="297" spans="2:21">
      <c r="B297" s="115" t="s">
        <v>303</v>
      </c>
      <c r="C297" s="114"/>
      <c r="D297" s="119" t="s">
        <v>302</v>
      </c>
      <c r="E297" s="125"/>
      <c r="F297" s="125"/>
      <c r="G297" s="125"/>
      <c r="H297" s="125"/>
      <c r="I297" s="125"/>
      <c r="J297" s="124"/>
      <c r="K297" s="108"/>
      <c r="L297" s="108"/>
      <c r="M297" s="108"/>
      <c r="N297" s="108"/>
      <c r="O297" s="111"/>
      <c r="P297" s="111"/>
      <c r="Q297" s="111"/>
      <c r="R297" s="111"/>
      <c r="S297" s="111"/>
      <c r="T297" s="111"/>
      <c r="U297" s="111"/>
    </row>
    <row r="298" spans="2:21">
      <c r="B298" s="115"/>
      <c r="C298" s="114"/>
      <c r="D298" s="119" t="s">
        <v>301</v>
      </c>
      <c r="E298" s="125"/>
      <c r="F298" s="125"/>
      <c r="G298" s="125"/>
      <c r="H298" s="125"/>
      <c r="I298" s="125"/>
      <c r="J298" s="124"/>
      <c r="K298" s="108"/>
      <c r="L298" s="108"/>
      <c r="M298" s="108"/>
      <c r="N298" s="108"/>
      <c r="O298" s="111"/>
      <c r="P298" s="111"/>
      <c r="Q298" s="111"/>
      <c r="R298" s="111"/>
      <c r="S298" s="111"/>
      <c r="T298" s="111"/>
      <c r="U298" s="111"/>
    </row>
    <row r="299" spans="2:21">
      <c r="B299" s="115"/>
      <c r="C299" s="114"/>
      <c r="D299" s="119" t="s">
        <v>300</v>
      </c>
      <c r="E299" s="125"/>
      <c r="F299" s="125"/>
      <c r="G299" s="125"/>
      <c r="H299" s="125"/>
      <c r="I299" s="125"/>
      <c r="J299" s="124"/>
      <c r="K299" s="108"/>
      <c r="L299" s="108"/>
      <c r="M299" s="108"/>
      <c r="N299" s="108"/>
      <c r="O299" s="111"/>
      <c r="P299" s="111"/>
      <c r="Q299" s="111"/>
      <c r="R299" s="111"/>
      <c r="S299" s="111"/>
      <c r="T299" s="111"/>
      <c r="U299" s="111"/>
    </row>
    <row r="300" spans="2:21">
      <c r="B300" s="115"/>
      <c r="C300" s="114"/>
      <c r="D300" s="120" t="s">
        <v>299</v>
      </c>
      <c r="E300" s="125"/>
      <c r="F300" s="125"/>
      <c r="G300" s="125"/>
      <c r="H300" s="125"/>
      <c r="I300" s="125"/>
      <c r="J300" s="124"/>
      <c r="K300" s="108"/>
      <c r="L300" s="108"/>
      <c r="M300" s="108"/>
      <c r="N300" s="108"/>
      <c r="O300" s="111"/>
      <c r="P300" s="111"/>
      <c r="Q300" s="111"/>
      <c r="R300" s="111"/>
      <c r="S300" s="111"/>
      <c r="T300" s="111"/>
      <c r="U300" s="111"/>
    </row>
    <row r="301" spans="2:21">
      <c r="B301" s="115"/>
      <c r="C301" s="114"/>
      <c r="D301" s="120"/>
      <c r="E301" s="125"/>
      <c r="F301" s="125"/>
      <c r="G301" s="125"/>
      <c r="H301" s="125"/>
      <c r="I301" s="125"/>
      <c r="J301" s="124"/>
      <c r="K301" s="108"/>
      <c r="L301" s="108"/>
      <c r="M301" s="108"/>
      <c r="N301" s="108"/>
      <c r="O301" s="111"/>
      <c r="P301" s="111"/>
      <c r="Q301" s="111"/>
      <c r="R301" s="111"/>
      <c r="S301" s="111"/>
      <c r="T301" s="111"/>
      <c r="U301" s="111"/>
    </row>
    <row r="302" spans="2:21">
      <c r="B302" s="115" t="s">
        <v>298</v>
      </c>
      <c r="C302" s="114"/>
      <c r="D302" s="476" t="s">
        <v>297</v>
      </c>
      <c r="E302" s="474"/>
      <c r="F302" s="474"/>
      <c r="G302" s="474"/>
      <c r="H302" s="474"/>
      <c r="I302" s="474"/>
      <c r="J302" s="474"/>
      <c r="K302" s="108"/>
      <c r="L302" s="108"/>
      <c r="M302" s="108"/>
      <c r="N302" s="108"/>
      <c r="O302" s="111"/>
      <c r="P302" s="111"/>
      <c r="Q302" s="111"/>
      <c r="R302" s="111"/>
      <c r="S302" s="111"/>
      <c r="T302" s="111"/>
      <c r="U302" s="111"/>
    </row>
    <row r="303" spans="2:21">
      <c r="B303" s="115"/>
      <c r="C303" s="114"/>
      <c r="D303" s="120"/>
      <c r="E303" s="125"/>
      <c r="F303" s="125"/>
      <c r="G303" s="125"/>
      <c r="H303" s="125"/>
      <c r="I303" s="125"/>
      <c r="J303" s="124"/>
      <c r="K303" s="108"/>
      <c r="L303" s="108"/>
      <c r="M303" s="108"/>
      <c r="N303" s="108"/>
      <c r="O303" s="111"/>
      <c r="P303" s="111"/>
      <c r="Q303" s="111"/>
      <c r="R303" s="111"/>
      <c r="S303" s="111"/>
      <c r="T303" s="111"/>
      <c r="U303" s="111"/>
    </row>
    <row r="304" spans="2:21">
      <c r="B304" s="128" t="s">
        <v>296</v>
      </c>
      <c r="C304" s="114"/>
      <c r="D304" s="477" t="s">
        <v>295</v>
      </c>
      <c r="E304" s="474"/>
      <c r="F304" s="474"/>
      <c r="G304" s="474"/>
      <c r="H304" s="474"/>
      <c r="I304" s="474"/>
      <c r="J304" s="474"/>
      <c r="K304" s="108"/>
      <c r="L304" s="108"/>
      <c r="M304" s="108"/>
      <c r="N304" s="108"/>
      <c r="O304" s="111"/>
      <c r="P304" s="111"/>
      <c r="Q304" s="111"/>
      <c r="R304" s="111"/>
      <c r="S304" s="111"/>
      <c r="T304" s="111"/>
      <c r="U304" s="111"/>
    </row>
    <row r="305" spans="2:21">
      <c r="B305" s="128"/>
      <c r="C305" s="114"/>
      <c r="D305" s="474"/>
      <c r="E305" s="474"/>
      <c r="F305" s="474"/>
      <c r="G305" s="474"/>
      <c r="H305" s="474"/>
      <c r="I305" s="474"/>
      <c r="J305" s="474"/>
      <c r="K305" s="108"/>
      <c r="L305" s="108"/>
      <c r="M305" s="108"/>
      <c r="N305" s="108"/>
      <c r="O305" s="111"/>
      <c r="P305" s="111"/>
      <c r="Q305" s="111"/>
      <c r="R305" s="111"/>
      <c r="S305" s="111"/>
      <c r="T305" s="111"/>
      <c r="U305" s="111"/>
    </row>
    <row r="306" spans="2:21">
      <c r="B306" s="128"/>
      <c r="C306" s="114"/>
      <c r="D306" s="119"/>
      <c r="E306" s="120"/>
      <c r="F306" s="120"/>
      <c r="G306" s="120"/>
      <c r="H306" s="120"/>
      <c r="I306" s="120"/>
      <c r="J306" s="126"/>
      <c r="K306" s="108"/>
      <c r="L306" s="108"/>
      <c r="M306" s="108"/>
      <c r="N306" s="108"/>
      <c r="O306" s="111"/>
      <c r="P306" s="111"/>
      <c r="Q306" s="111"/>
      <c r="R306" s="111"/>
      <c r="S306" s="111"/>
      <c r="T306" s="111"/>
      <c r="U306" s="111"/>
    </row>
    <row r="307" spans="2:21">
      <c r="B307" s="115" t="s">
        <v>294</v>
      </c>
      <c r="C307" s="114"/>
      <c r="D307" s="119" t="s">
        <v>293</v>
      </c>
      <c r="E307" s="125"/>
      <c r="F307" s="125"/>
      <c r="G307" s="125"/>
      <c r="H307" s="125"/>
      <c r="I307" s="125"/>
      <c r="J307" s="124"/>
      <c r="K307" s="108"/>
      <c r="L307" s="108"/>
      <c r="M307" s="108"/>
      <c r="N307" s="108"/>
      <c r="O307" s="111"/>
      <c r="P307" s="111"/>
      <c r="Q307" s="111"/>
      <c r="R307" s="111"/>
      <c r="S307" s="111"/>
      <c r="T307" s="111"/>
      <c r="U307" s="111"/>
    </row>
    <row r="308" spans="2:21">
      <c r="B308" s="115"/>
      <c r="C308" s="114"/>
      <c r="D308" s="119" t="s">
        <v>292</v>
      </c>
      <c r="E308" s="125"/>
      <c r="F308" s="125"/>
      <c r="G308" s="125"/>
      <c r="H308" s="125"/>
      <c r="I308" s="125"/>
      <c r="J308" s="124"/>
      <c r="K308" s="108"/>
      <c r="L308" s="108"/>
      <c r="M308" s="108"/>
      <c r="N308" s="108"/>
      <c r="O308" s="111"/>
      <c r="P308" s="111"/>
      <c r="Q308" s="111"/>
      <c r="R308" s="111"/>
      <c r="S308" s="111"/>
      <c r="T308" s="111"/>
      <c r="U308" s="111"/>
    </row>
    <row r="309" spans="2:21">
      <c r="B309" s="115"/>
      <c r="C309" s="114"/>
      <c r="D309" s="119" t="s">
        <v>291</v>
      </c>
      <c r="E309" s="125"/>
      <c r="F309" s="125"/>
      <c r="G309" s="125"/>
      <c r="H309" s="125"/>
      <c r="I309" s="125"/>
      <c r="J309" s="124"/>
      <c r="K309" s="108"/>
      <c r="L309" s="108"/>
      <c r="M309" s="108"/>
      <c r="N309" s="108"/>
      <c r="O309" s="111"/>
      <c r="P309" s="111"/>
      <c r="Q309" s="111"/>
      <c r="R309" s="111"/>
      <c r="S309" s="111"/>
      <c r="T309" s="111"/>
      <c r="U309" s="111"/>
    </row>
    <row r="310" spans="2:21">
      <c r="B310" s="115"/>
      <c r="C310" s="114"/>
      <c r="D310" s="119" t="s">
        <v>290</v>
      </c>
      <c r="E310" s="125"/>
      <c r="F310" s="125"/>
      <c r="G310" s="125"/>
      <c r="H310" s="125"/>
      <c r="I310" s="125"/>
      <c r="J310" s="124"/>
      <c r="K310" s="108"/>
      <c r="L310" s="108"/>
      <c r="M310" s="108"/>
      <c r="N310" s="108"/>
      <c r="O310" s="111"/>
      <c r="P310" s="111"/>
      <c r="Q310" s="111"/>
      <c r="R310" s="111"/>
      <c r="S310" s="111"/>
      <c r="T310" s="111"/>
      <c r="U310" s="111"/>
    </row>
    <row r="311" spans="2:21">
      <c r="B311" s="115"/>
      <c r="C311" s="114"/>
      <c r="D311" s="119" t="s">
        <v>289</v>
      </c>
      <c r="E311" s="125"/>
      <c r="F311" s="125"/>
      <c r="G311" s="125"/>
      <c r="H311" s="125"/>
      <c r="I311" s="125"/>
      <c r="J311" s="124"/>
      <c r="K311" s="108"/>
      <c r="L311" s="108"/>
      <c r="M311" s="108"/>
      <c r="N311" s="108"/>
      <c r="O311" s="111"/>
      <c r="P311" s="111"/>
      <c r="Q311" s="111"/>
      <c r="R311" s="111"/>
      <c r="S311" s="111"/>
      <c r="T311" s="111"/>
      <c r="U311" s="111"/>
    </row>
    <row r="312" spans="2:21">
      <c r="B312" s="115"/>
      <c r="C312" s="114"/>
      <c r="D312" s="119" t="str">
        <f>"(ln "&amp;B163&amp;") multiplied by (1/1-T) .  If the applicable tax rates are zero enter 0."</f>
        <v>(ln 95) multiplied by (1/1-T) .  If the applicable tax rates are zero enter 0.</v>
      </c>
      <c r="E312" s="125"/>
      <c r="F312" s="125"/>
      <c r="G312" s="125"/>
      <c r="H312" s="125"/>
      <c r="I312" s="125"/>
      <c r="J312" s="124"/>
      <c r="K312" s="108"/>
      <c r="L312" s="108"/>
      <c r="M312" s="108"/>
      <c r="N312" s="108"/>
      <c r="O312" s="111"/>
      <c r="P312" s="111"/>
      <c r="Q312" s="111"/>
      <c r="R312" s="111"/>
      <c r="S312" s="111"/>
      <c r="T312" s="111"/>
      <c r="U312" s="111"/>
    </row>
    <row r="313" spans="2:21">
      <c r="B313" s="115" t="s">
        <v>288</v>
      </c>
      <c r="C313" s="114"/>
      <c r="D313" s="119" t="s">
        <v>287</v>
      </c>
      <c r="E313" s="125" t="s">
        <v>286</v>
      </c>
      <c r="F313" s="127">
        <f>+'[4]OKT Historic TCOS'!F326</f>
        <v>0.35</v>
      </c>
      <c r="G313" s="125"/>
      <c r="I313" s="125"/>
      <c r="J313" s="124"/>
      <c r="K313" s="108"/>
      <c r="L313" s="108"/>
      <c r="M313" s="108"/>
      <c r="N313" s="108"/>
      <c r="O313" s="111"/>
      <c r="P313" s="111"/>
      <c r="Q313" s="111"/>
      <c r="R313" s="111"/>
      <c r="S313" s="111"/>
      <c r="T313" s="111"/>
      <c r="U313" s="111"/>
    </row>
    <row r="314" spans="2:21">
      <c r="B314" s="115"/>
      <c r="C314" s="114"/>
      <c r="D314" s="119"/>
      <c r="E314" s="125" t="s">
        <v>285</v>
      </c>
      <c r="F314" s="127">
        <f>+'[4]OKT WS K State Taxes'!F18</f>
        <v>5.6599999999999998E-2</v>
      </c>
      <c r="G314" s="125" t="s">
        <v>284</v>
      </c>
      <c r="I314" s="125"/>
      <c r="J314" s="124"/>
      <c r="K314" s="108"/>
      <c r="L314" s="108"/>
      <c r="M314" s="108"/>
      <c r="N314" s="108"/>
      <c r="O314" s="111"/>
      <c r="P314" s="111"/>
      <c r="Q314" s="111"/>
      <c r="R314" s="111"/>
      <c r="S314" s="111"/>
      <c r="T314" s="111"/>
      <c r="U314" s="111"/>
    </row>
    <row r="315" spans="2:21">
      <c r="B315" s="115"/>
      <c r="C315" s="114"/>
      <c r="D315" s="119"/>
      <c r="E315" s="125" t="s">
        <v>283</v>
      </c>
      <c r="F315" s="127">
        <f>+'[4]OKT Historic TCOS'!F328</f>
        <v>0</v>
      </c>
      <c r="G315" s="125" t="s">
        <v>282</v>
      </c>
      <c r="I315" s="125"/>
      <c r="J315" s="124"/>
      <c r="K315" s="108"/>
      <c r="L315" s="108"/>
      <c r="M315" s="108"/>
      <c r="N315" s="108"/>
      <c r="O315" s="111"/>
      <c r="P315" s="111"/>
      <c r="Q315" s="111"/>
      <c r="R315" s="111"/>
      <c r="S315" s="111"/>
      <c r="T315" s="111"/>
      <c r="U315" s="111"/>
    </row>
    <row r="316" spans="2:21">
      <c r="B316" s="115"/>
      <c r="C316" s="114"/>
      <c r="D316" s="119"/>
      <c r="E316" s="125"/>
      <c r="F316" s="127"/>
      <c r="G316" s="125"/>
      <c r="I316" s="125"/>
      <c r="J316" s="124"/>
      <c r="K316" s="108"/>
      <c r="L316" s="108"/>
      <c r="M316" s="108"/>
      <c r="N316" s="108"/>
      <c r="O316" s="111"/>
      <c r="P316" s="111"/>
      <c r="Q316" s="111"/>
      <c r="R316" s="111"/>
      <c r="S316" s="111"/>
      <c r="T316" s="111"/>
      <c r="U316" s="111"/>
    </row>
    <row r="317" spans="2:21">
      <c r="B317" s="115" t="s">
        <v>281</v>
      </c>
      <c r="C317" s="114"/>
      <c r="D317" s="119" t="s">
        <v>280</v>
      </c>
      <c r="E317" s="125"/>
      <c r="F317" s="125"/>
      <c r="G317" s="127"/>
      <c r="H317" s="125"/>
      <c r="I317" s="125"/>
      <c r="J317" s="124"/>
      <c r="K317" s="108"/>
      <c r="L317" s="108"/>
      <c r="M317" s="108"/>
      <c r="N317" s="108"/>
      <c r="O317" s="111"/>
      <c r="P317" s="111"/>
      <c r="Q317" s="111"/>
      <c r="R317" s="111"/>
      <c r="S317" s="111"/>
      <c r="T317" s="111"/>
      <c r="U317" s="111"/>
    </row>
    <row r="318" spans="2:21">
      <c r="B318" s="115"/>
      <c r="C318" s="114"/>
      <c r="D318" s="119" t="s">
        <v>279</v>
      </c>
      <c r="E318" s="125"/>
      <c r="F318" s="125"/>
      <c r="G318" s="127"/>
      <c r="H318" s="125"/>
      <c r="I318" s="125"/>
      <c r="J318" s="124"/>
      <c r="K318" s="108"/>
      <c r="L318" s="108"/>
      <c r="M318" s="108"/>
      <c r="N318" s="108"/>
      <c r="O318" s="111"/>
      <c r="P318" s="111"/>
      <c r="Q318" s="111"/>
      <c r="R318" s="111"/>
      <c r="S318" s="111"/>
      <c r="T318" s="111"/>
      <c r="U318" s="111"/>
    </row>
    <row r="319" spans="2:21">
      <c r="B319" s="115"/>
      <c r="C319" s="114"/>
      <c r="D319" s="119"/>
      <c r="E319" s="125"/>
      <c r="F319" s="125"/>
      <c r="G319" s="127"/>
      <c r="H319" s="125"/>
      <c r="I319" s="125"/>
      <c r="J319" s="124"/>
      <c r="K319" s="108"/>
      <c r="L319" s="108"/>
      <c r="M319" s="108"/>
      <c r="N319" s="108"/>
      <c r="O319" s="111"/>
      <c r="P319" s="111"/>
      <c r="Q319" s="111"/>
      <c r="R319" s="111"/>
      <c r="S319" s="111"/>
      <c r="T319" s="111"/>
      <c r="U319" s="111"/>
    </row>
    <row r="320" spans="2:21">
      <c r="B320" s="115" t="s">
        <v>278</v>
      </c>
      <c r="C320" s="114"/>
      <c r="D320" s="119" t="s">
        <v>277</v>
      </c>
      <c r="E320" s="120"/>
      <c r="F320" s="120"/>
      <c r="G320" s="120"/>
      <c r="H320" s="120"/>
      <c r="I320" s="120"/>
      <c r="J320" s="126"/>
      <c r="K320" s="108"/>
      <c r="L320" s="108"/>
      <c r="M320" s="108"/>
      <c r="N320" s="108"/>
      <c r="O320" s="111"/>
      <c r="P320" s="111"/>
      <c r="Q320" s="111"/>
      <c r="R320" s="111"/>
      <c r="S320" s="111"/>
      <c r="T320" s="111"/>
      <c r="U320" s="111"/>
    </row>
    <row r="321" spans="2:21">
      <c r="B321" s="104"/>
      <c r="D321" s="119"/>
      <c r="E321" s="120"/>
      <c r="F321" s="120"/>
      <c r="G321" s="120"/>
      <c r="H321" s="120"/>
      <c r="I321" s="120"/>
      <c r="J321" s="126"/>
      <c r="K321" s="108"/>
      <c r="L321" s="108"/>
      <c r="M321" s="108"/>
      <c r="N321" s="108"/>
      <c r="O321" s="111"/>
      <c r="P321" s="111"/>
      <c r="Q321" s="111"/>
      <c r="R321" s="111"/>
      <c r="S321" s="111"/>
      <c r="T321" s="111"/>
      <c r="U321" s="111"/>
    </row>
    <row r="322" spans="2:21">
      <c r="B322" s="115" t="s">
        <v>276</v>
      </c>
      <c r="C322" s="114"/>
      <c r="D322" s="119" t="s">
        <v>275</v>
      </c>
      <c r="E322" s="120"/>
      <c r="F322" s="120"/>
      <c r="G322" s="120"/>
      <c r="H322" s="120"/>
      <c r="I322" s="120"/>
      <c r="J322" s="126"/>
      <c r="K322" s="108"/>
      <c r="L322" s="108"/>
      <c r="M322" s="108"/>
      <c r="N322" s="108"/>
      <c r="O322" s="111"/>
      <c r="P322" s="111"/>
      <c r="Q322" s="111"/>
      <c r="R322" s="111"/>
      <c r="S322" s="111"/>
      <c r="T322" s="111"/>
      <c r="U322" s="111"/>
    </row>
    <row r="323" spans="2:21">
      <c r="B323" s="115"/>
      <c r="C323" s="114"/>
      <c r="D323" s="119"/>
      <c r="E323" s="125"/>
      <c r="F323" s="125"/>
      <c r="G323" s="125"/>
      <c r="H323" s="125"/>
      <c r="I323" s="125"/>
      <c r="J323" s="124"/>
      <c r="K323" s="108"/>
      <c r="L323" s="108"/>
      <c r="M323" s="108"/>
      <c r="N323" s="108"/>
      <c r="O323" s="111"/>
      <c r="P323" s="111"/>
      <c r="Q323" s="111"/>
      <c r="R323" s="111"/>
      <c r="S323" s="111"/>
      <c r="T323" s="111"/>
      <c r="U323" s="111"/>
    </row>
    <row r="324" spans="2:21">
      <c r="B324" s="115" t="s">
        <v>274</v>
      </c>
      <c r="C324" s="114"/>
      <c r="D324" s="119" t="s">
        <v>273</v>
      </c>
      <c r="E324" s="125"/>
      <c r="F324" s="125"/>
      <c r="G324" s="125"/>
      <c r="H324" s="125"/>
      <c r="I324" s="125"/>
      <c r="J324" s="124"/>
      <c r="K324" s="108"/>
      <c r="L324" s="108"/>
      <c r="M324" s="108"/>
      <c r="N324" s="108"/>
      <c r="O324" s="111"/>
      <c r="P324" s="111"/>
      <c r="Q324" s="111"/>
      <c r="R324" s="111"/>
      <c r="S324" s="111"/>
      <c r="T324" s="111"/>
      <c r="U324" s="111"/>
    </row>
    <row r="325" spans="2:21">
      <c r="B325" s="115"/>
      <c r="C325" s="114"/>
      <c r="D325" s="119"/>
      <c r="E325" s="125"/>
      <c r="F325" s="125"/>
      <c r="G325" s="125"/>
      <c r="H325" s="125"/>
      <c r="I325" s="125"/>
      <c r="J325" s="124"/>
      <c r="K325" s="108"/>
      <c r="L325" s="108"/>
      <c r="M325" s="108"/>
      <c r="N325" s="108"/>
      <c r="O325" s="111"/>
      <c r="P325" s="111"/>
      <c r="Q325" s="111"/>
      <c r="R325" s="111"/>
      <c r="S325" s="111"/>
      <c r="T325" s="111"/>
      <c r="U325" s="111"/>
    </row>
    <row r="326" spans="2:21">
      <c r="B326" s="123" t="s">
        <v>272</v>
      </c>
      <c r="C326" s="122"/>
      <c r="D326" s="478" t="str">
        <f>"The Capital Structure of "&amp;F7&amp;" will be based on the Capital Structure of PSO until "&amp;F7&amp;" establishes a stand alond capital structure computed on Worksheet M for the Projected TCOS or Worksheet N for the True-up TCOS."</f>
        <v>The Capital Structure of AEP OKLAHOMA TRANSMISSION COMPANY, INC will be based on the Capital Structure of PSO until AEP OKLAHOMA TRANSMISSION COMPANY, INC establishes a stand alond capital structure computed on Worksheet M for the Projected TCOS or Worksheet N for the True-up TCOS.</v>
      </c>
      <c r="E326" s="478"/>
      <c r="F326" s="478"/>
      <c r="G326" s="478"/>
      <c r="H326" s="478"/>
      <c r="I326" s="478"/>
      <c r="J326" s="478"/>
      <c r="K326" s="478"/>
      <c r="L326" s="478"/>
      <c r="M326" s="108"/>
      <c r="N326" s="108"/>
      <c r="O326" s="111"/>
      <c r="P326" s="111"/>
      <c r="Q326" s="111"/>
      <c r="R326" s="111"/>
      <c r="S326" s="111"/>
      <c r="T326" s="111"/>
      <c r="U326" s="111"/>
    </row>
    <row r="327" spans="2:21">
      <c r="B327" s="121"/>
      <c r="C327" s="120"/>
      <c r="D327" s="478"/>
      <c r="E327" s="478"/>
      <c r="F327" s="478"/>
      <c r="G327" s="478"/>
      <c r="H327" s="478"/>
      <c r="I327" s="478"/>
      <c r="J327" s="478"/>
      <c r="K327" s="478"/>
      <c r="L327" s="478"/>
      <c r="M327" s="108"/>
      <c r="N327" s="108"/>
      <c r="O327" s="111"/>
      <c r="P327" s="111"/>
      <c r="Q327" s="111"/>
      <c r="R327" s="111"/>
      <c r="S327" s="111"/>
      <c r="T327" s="111"/>
      <c r="U327" s="111"/>
    </row>
    <row r="328" spans="2:21" ht="15" customHeight="1">
      <c r="B328" s="121"/>
      <c r="C328" s="120"/>
      <c r="D328" s="119" t="str">
        <f>"Long Term Debt cost rate = long-term interest (ln "&amp;B234&amp;") / long term debt (ln "&amp;B244&amp;").  Preferred Stock cost rate = preferred dividends (ln "&amp;B235&amp;") / preferred outstanding (ln "&amp;B245&amp;")."</f>
        <v>Long Term Debt cost rate = long-term interest (ln 139) / long term debt (ln 148).  Preferred Stock cost rate = preferred dividends (ln 140) / preferred outstanding (ln 149).</v>
      </c>
      <c r="M328" s="108"/>
      <c r="N328" s="108"/>
      <c r="O328" s="111"/>
      <c r="P328" s="111"/>
      <c r="Q328" s="111"/>
      <c r="R328" s="111"/>
      <c r="S328" s="111"/>
      <c r="T328" s="111"/>
      <c r="U328" s="111"/>
    </row>
    <row r="329" spans="2:21">
      <c r="B329" s="121"/>
      <c r="C329" s="120"/>
      <c r="D329" s="119" t="str">
        <f>"Common Stock cost rate (ROE) = "&amp;J246*100&amp;"%, the rate accepted by FERC in Docket Nos. ER07-1069 and ER10-355.  It includes an additional 50 basis points for remaining a member of the SPP RTO."</f>
        <v>Common Stock cost rate (ROE) = 11.2%, the rate accepted by FERC in Docket Nos. ER07-1069 and ER10-355.  It includes an additional 50 basis points for remaining a member of the SPP RTO.</v>
      </c>
      <c r="M329" s="108"/>
      <c r="N329" s="108"/>
      <c r="O329" s="111"/>
      <c r="P329" s="111"/>
      <c r="Q329" s="111"/>
      <c r="R329" s="111"/>
      <c r="S329" s="111"/>
      <c r="T329" s="111"/>
      <c r="U329" s="111"/>
    </row>
    <row r="330" spans="2:21">
      <c r="B330" s="121"/>
      <c r="C330" s="120"/>
      <c r="D330" s="119"/>
      <c r="J330" s="118"/>
      <c r="M330" s="108"/>
      <c r="N330" s="108"/>
      <c r="O330" s="111"/>
      <c r="P330" s="111"/>
      <c r="Q330" s="111"/>
      <c r="R330" s="111"/>
      <c r="S330" s="111"/>
      <c r="T330" s="111"/>
      <c r="U330" s="111"/>
    </row>
    <row r="331" spans="2:21" ht="15" customHeight="1">
      <c r="B331" s="117" t="s">
        <v>271</v>
      </c>
      <c r="C331" s="114"/>
      <c r="D331" s="473" t="str">
        <f>"Per Settlement, equity is limited to "&amp;E230*100&amp;"% of "&amp;F7&amp;"'s Capital Structure.  If the percentage of equity exceeds the cap, the excess is included in long term debt in the cap structure. This value can only change via an approved 205 or 206 filing. "</f>
        <v xml:space="preserve">Per Settlement, equity is limited to 50% of AEP OKLAHOMA TRANSMISSION COMPANY, INC's Capital Structure.  If the percentage of equity exceeds the cap, the excess is included in long term debt in the cap structure. This value can only change via an approved 205 or 206 filing. </v>
      </c>
      <c r="E331" s="474"/>
      <c r="F331" s="474"/>
      <c r="G331" s="474"/>
      <c r="H331" s="474"/>
      <c r="I331" s="474"/>
      <c r="J331" s="474"/>
      <c r="K331" s="474"/>
      <c r="L331" s="474"/>
      <c r="M331" s="108"/>
      <c r="N331" s="108"/>
      <c r="O331" s="111"/>
      <c r="P331" s="111"/>
      <c r="Q331" s="111"/>
      <c r="R331" s="111"/>
      <c r="S331" s="111"/>
      <c r="T331" s="111"/>
      <c r="U331" s="111"/>
    </row>
    <row r="332" spans="2:21">
      <c r="B332" s="115"/>
      <c r="C332" s="114"/>
      <c r="D332" s="474"/>
      <c r="E332" s="474"/>
      <c r="F332" s="474"/>
      <c r="G332" s="474"/>
      <c r="H332" s="474"/>
      <c r="I332" s="474"/>
      <c r="J332" s="474"/>
      <c r="K332" s="474"/>
      <c r="L332" s="474"/>
      <c r="M332" s="108"/>
      <c r="N332" s="108"/>
      <c r="O332" s="111"/>
      <c r="P332" s="111"/>
      <c r="Q332" s="111"/>
      <c r="R332" s="111"/>
      <c r="S332" s="111"/>
      <c r="T332" s="111"/>
      <c r="U332" s="111"/>
    </row>
    <row r="333" spans="2:21">
      <c r="B333" s="115"/>
      <c r="C333" s="114"/>
      <c r="M333" s="108"/>
      <c r="N333" s="108"/>
      <c r="O333" s="111"/>
      <c r="P333" s="111"/>
      <c r="Q333" s="111"/>
      <c r="R333" s="111"/>
      <c r="S333" s="111"/>
      <c r="T333" s="111"/>
      <c r="U333" s="111"/>
    </row>
    <row r="334" spans="2:21">
      <c r="B334" s="115"/>
      <c r="C334" s="114"/>
      <c r="M334" s="108"/>
      <c r="N334" s="108"/>
      <c r="O334" s="111"/>
      <c r="P334" s="111"/>
      <c r="Q334" s="111"/>
      <c r="R334" s="111"/>
      <c r="S334" s="111"/>
      <c r="T334" s="111"/>
      <c r="U334" s="111"/>
    </row>
    <row r="335" spans="2:21">
      <c r="B335" s="115"/>
      <c r="C335" s="114"/>
      <c r="M335" s="108"/>
      <c r="N335" s="108"/>
      <c r="O335" s="111"/>
      <c r="P335" s="111"/>
      <c r="Q335" s="111"/>
      <c r="R335" s="111"/>
      <c r="S335" s="111"/>
      <c r="T335" s="111"/>
      <c r="U335" s="111"/>
    </row>
    <row r="336" spans="2:21">
      <c r="B336" s="116"/>
      <c r="C336" s="116"/>
      <c r="D336" s="116"/>
      <c r="E336" s="116"/>
      <c r="F336" s="116"/>
      <c r="G336" s="116"/>
      <c r="H336" s="116"/>
      <c r="M336" s="108"/>
      <c r="N336" s="108"/>
      <c r="O336" s="111"/>
      <c r="P336" s="111"/>
      <c r="Q336" s="111"/>
      <c r="R336" s="111"/>
      <c r="S336" s="111"/>
      <c r="T336" s="111"/>
      <c r="U336" s="111"/>
    </row>
    <row r="337" spans="2:21">
      <c r="B337" s="108"/>
      <c r="C337" s="108"/>
      <c r="D337" s="108"/>
      <c r="E337" s="108"/>
      <c r="F337" s="108"/>
      <c r="G337" s="108"/>
      <c r="H337" s="108"/>
      <c r="M337" s="108"/>
      <c r="N337" s="108"/>
      <c r="O337" s="111"/>
      <c r="P337" s="111"/>
      <c r="Q337" s="111"/>
      <c r="R337" s="111"/>
      <c r="S337" s="111"/>
      <c r="T337" s="111"/>
      <c r="U337" s="111"/>
    </row>
    <row r="338" spans="2:21">
      <c r="B338" s="108"/>
      <c r="C338" s="108"/>
      <c r="M338" s="108"/>
      <c r="N338" s="108"/>
      <c r="O338" s="111"/>
      <c r="P338" s="111"/>
      <c r="Q338" s="111"/>
      <c r="R338" s="111"/>
      <c r="S338" s="111"/>
      <c r="T338" s="111"/>
      <c r="U338" s="111"/>
    </row>
    <row r="339" spans="2:21">
      <c r="B339" s="108"/>
      <c r="C339" s="108"/>
      <c r="M339" s="108"/>
      <c r="N339" s="108"/>
      <c r="O339" s="111"/>
      <c r="P339" s="111"/>
      <c r="Q339" s="111"/>
      <c r="R339" s="111"/>
      <c r="S339" s="111"/>
      <c r="T339" s="111"/>
      <c r="U339" s="111"/>
    </row>
    <row r="340" spans="2:21">
      <c r="B340" s="108"/>
      <c r="C340" s="108"/>
      <c r="D340" s="108"/>
      <c r="E340" s="108"/>
      <c r="F340" s="108"/>
      <c r="G340" s="108"/>
      <c r="H340" s="108"/>
      <c r="M340" s="108"/>
      <c r="N340" s="108"/>
      <c r="O340" s="111"/>
      <c r="P340" s="111"/>
      <c r="Q340" s="111"/>
      <c r="R340" s="111"/>
      <c r="S340" s="111"/>
      <c r="T340" s="111"/>
      <c r="U340" s="111"/>
    </row>
    <row r="341" spans="2:21">
      <c r="B341" s="108"/>
      <c r="C341" s="108"/>
      <c r="D341" s="108"/>
      <c r="E341" s="108"/>
      <c r="F341" s="108"/>
      <c r="G341" s="108"/>
      <c r="H341" s="108"/>
      <c r="M341" s="108"/>
      <c r="N341" s="108"/>
      <c r="O341" s="111"/>
      <c r="P341" s="111"/>
      <c r="Q341" s="111"/>
      <c r="R341" s="111"/>
      <c r="S341" s="111"/>
      <c r="T341" s="111"/>
      <c r="U341" s="111"/>
    </row>
    <row r="342" spans="2:21">
      <c r="B342" s="108"/>
      <c r="C342" s="108"/>
      <c r="D342" s="108"/>
      <c r="E342" s="108"/>
      <c r="F342" s="108"/>
      <c r="G342" s="108"/>
      <c r="H342" s="108"/>
      <c r="M342" s="108"/>
      <c r="N342" s="108"/>
      <c r="O342" s="111"/>
      <c r="P342" s="111"/>
      <c r="Q342" s="111"/>
      <c r="R342" s="111"/>
      <c r="S342" s="111"/>
      <c r="T342" s="111"/>
      <c r="U342" s="111"/>
    </row>
    <row r="343" spans="2:21">
      <c r="B343" s="108"/>
      <c r="C343" s="108"/>
      <c r="D343" s="108"/>
      <c r="E343" s="108"/>
      <c r="F343" s="108"/>
      <c r="G343" s="108"/>
      <c r="H343" s="108"/>
      <c r="M343" s="108"/>
      <c r="N343" s="108"/>
      <c r="O343" s="111"/>
      <c r="P343" s="111"/>
      <c r="Q343" s="111"/>
      <c r="R343" s="111"/>
      <c r="S343" s="111"/>
      <c r="T343" s="111"/>
      <c r="U343" s="111"/>
    </row>
    <row r="344" spans="2:21">
      <c r="B344" s="108"/>
      <c r="C344" s="108"/>
      <c r="D344" s="108"/>
      <c r="E344" s="108"/>
      <c r="F344" s="108"/>
      <c r="G344" s="108"/>
      <c r="H344" s="108"/>
      <c r="M344" s="108"/>
      <c r="N344" s="108"/>
      <c r="O344" s="111"/>
      <c r="P344" s="111"/>
      <c r="Q344" s="111"/>
      <c r="R344" s="111"/>
      <c r="S344" s="111"/>
      <c r="T344" s="111"/>
      <c r="U344" s="111"/>
    </row>
    <row r="345" spans="2:21">
      <c r="B345" s="108"/>
      <c r="C345" s="108"/>
      <c r="D345" s="108"/>
      <c r="E345" s="108"/>
      <c r="F345" s="108"/>
      <c r="G345" s="108"/>
      <c r="H345" s="108"/>
      <c r="M345" s="108"/>
      <c r="N345" s="108"/>
      <c r="O345" s="111"/>
      <c r="P345" s="111"/>
      <c r="Q345" s="111"/>
      <c r="R345" s="111"/>
      <c r="S345" s="111"/>
      <c r="T345" s="111"/>
      <c r="U345" s="111"/>
    </row>
    <row r="346" spans="2:21">
      <c r="B346" s="108"/>
      <c r="C346" s="108"/>
      <c r="D346" s="108"/>
      <c r="E346" s="108"/>
      <c r="F346" s="108"/>
      <c r="G346" s="108"/>
      <c r="H346" s="108"/>
      <c r="M346" s="108"/>
      <c r="N346" s="108"/>
      <c r="O346" s="111"/>
      <c r="P346" s="111"/>
      <c r="Q346" s="111"/>
      <c r="R346" s="111"/>
      <c r="S346" s="111"/>
      <c r="T346" s="111"/>
      <c r="U346" s="111"/>
    </row>
    <row r="347" spans="2:21">
      <c r="B347" s="115"/>
      <c r="C347" s="114"/>
      <c r="M347" s="108"/>
      <c r="N347" s="108"/>
      <c r="O347" s="111"/>
      <c r="P347" s="111"/>
      <c r="Q347" s="111"/>
      <c r="R347" s="111"/>
      <c r="S347" s="111"/>
      <c r="T347" s="111"/>
      <c r="U347" s="111"/>
    </row>
    <row r="348" spans="2:21">
      <c r="B348" s="104"/>
      <c r="M348" s="108"/>
      <c r="N348" s="108"/>
      <c r="O348" s="111"/>
      <c r="P348" s="111"/>
      <c r="Q348" s="111"/>
      <c r="R348" s="111"/>
      <c r="S348" s="111"/>
      <c r="T348" s="111"/>
      <c r="U348" s="111"/>
    </row>
    <row r="349" spans="2:21">
      <c r="B349" s="104"/>
      <c r="M349" s="108"/>
      <c r="N349" s="108"/>
      <c r="O349" s="111"/>
      <c r="P349" s="111"/>
      <c r="Q349" s="111"/>
      <c r="R349" s="111"/>
      <c r="S349" s="111"/>
      <c r="T349" s="111"/>
      <c r="U349" s="111"/>
    </row>
    <row r="350" spans="2:21">
      <c r="B350" s="104"/>
      <c r="M350" s="108"/>
      <c r="N350" s="108"/>
      <c r="O350" s="111"/>
      <c r="P350" s="111"/>
      <c r="Q350" s="111"/>
      <c r="R350" s="111"/>
      <c r="S350" s="111"/>
      <c r="T350" s="111"/>
      <c r="U350" s="111"/>
    </row>
    <row r="351" spans="2:21">
      <c r="B351" s="104"/>
      <c r="H351" s="111"/>
      <c r="I351" s="111"/>
      <c r="J351" s="111"/>
      <c r="K351" s="111"/>
      <c r="L351" s="111"/>
      <c r="M351" s="108"/>
      <c r="N351" s="108"/>
      <c r="O351" s="111"/>
      <c r="P351" s="111"/>
      <c r="Q351" s="111"/>
      <c r="R351" s="111"/>
      <c r="S351" s="111"/>
      <c r="T351" s="111"/>
      <c r="U351" s="111"/>
    </row>
    <row r="352" spans="2:21">
      <c r="B352" s="104"/>
      <c r="H352" s="111"/>
      <c r="K352" s="111"/>
      <c r="L352" s="111"/>
      <c r="M352" s="108"/>
      <c r="N352" s="108"/>
      <c r="O352" s="111"/>
      <c r="P352" s="111"/>
      <c r="Q352" s="111"/>
      <c r="R352" s="111"/>
      <c r="S352" s="111"/>
      <c r="T352" s="111"/>
      <c r="U352" s="111"/>
    </row>
    <row r="353" spans="2:21">
      <c r="B353" s="104"/>
      <c r="H353" s="111"/>
      <c r="I353" s="111" t="s">
        <v>270</v>
      </c>
      <c r="J353" s="109"/>
      <c r="K353" s="111"/>
      <c r="L353" s="111"/>
      <c r="M353" s="108"/>
      <c r="N353" s="108"/>
      <c r="O353" s="111"/>
      <c r="P353" s="111"/>
      <c r="Q353" s="111"/>
      <c r="R353" s="111"/>
      <c r="S353" s="111"/>
      <c r="T353" s="111"/>
      <c r="U353" s="111"/>
    </row>
    <row r="354" spans="2:21">
      <c r="B354" s="104"/>
      <c r="H354" s="111"/>
      <c r="I354" s="110" t="s">
        <v>269</v>
      </c>
      <c r="J354" s="109">
        <v>1</v>
      </c>
      <c r="K354" s="111"/>
      <c r="L354" s="111"/>
      <c r="M354" s="108"/>
      <c r="N354" s="108"/>
      <c r="O354" s="111"/>
      <c r="P354" s="111"/>
      <c r="Q354" s="111"/>
      <c r="R354" s="111"/>
      <c r="S354" s="111"/>
      <c r="T354" s="111"/>
      <c r="U354" s="111"/>
    </row>
    <row r="355" spans="2:21">
      <c r="B355" s="104"/>
      <c r="H355" s="111"/>
      <c r="I355" s="110" t="s">
        <v>268</v>
      </c>
      <c r="J355" s="109">
        <f>+$J$63</f>
        <v>0.95418251235664331</v>
      </c>
      <c r="K355" s="111"/>
      <c r="L355" s="111"/>
      <c r="M355" s="108"/>
      <c r="N355" s="108"/>
      <c r="O355" s="111"/>
      <c r="P355" s="111"/>
      <c r="Q355" s="111"/>
      <c r="R355" s="111"/>
      <c r="S355" s="111"/>
      <c r="T355" s="111"/>
      <c r="U355" s="111"/>
    </row>
    <row r="356" spans="2:21">
      <c r="B356" s="104"/>
      <c r="H356" s="111"/>
      <c r="I356" s="110" t="s">
        <v>267</v>
      </c>
      <c r="J356" s="109">
        <f>'OKT 2015 True-Up TCOS'!$J$64</f>
        <v>1</v>
      </c>
      <c r="K356" s="111"/>
      <c r="L356" s="111"/>
      <c r="M356" s="108"/>
      <c r="N356" s="108"/>
      <c r="O356" s="111"/>
      <c r="P356" s="111"/>
      <c r="Q356" s="111"/>
      <c r="R356" s="111"/>
      <c r="S356" s="111"/>
      <c r="T356" s="111"/>
      <c r="U356" s="111"/>
    </row>
    <row r="357" spans="2:21">
      <c r="B357" s="112"/>
      <c r="C357" s="111"/>
      <c r="D357" s="111"/>
      <c r="E357" s="111"/>
      <c r="F357" s="111"/>
      <c r="G357" s="111"/>
      <c r="H357" s="111"/>
      <c r="I357" s="110" t="s">
        <v>266</v>
      </c>
      <c r="J357" s="113">
        <v>0</v>
      </c>
      <c r="K357" s="111"/>
      <c r="L357" s="111"/>
      <c r="M357" s="108"/>
      <c r="N357" s="108"/>
      <c r="O357" s="111"/>
      <c r="P357" s="111"/>
      <c r="Q357" s="111"/>
      <c r="R357" s="111"/>
      <c r="S357" s="111"/>
      <c r="T357" s="111"/>
      <c r="U357" s="111"/>
    </row>
    <row r="358" spans="2:21">
      <c r="B358" s="112"/>
      <c r="C358" s="111"/>
      <c r="D358" s="111"/>
      <c r="E358" s="111"/>
      <c r="F358" s="111"/>
      <c r="G358" s="111"/>
      <c r="H358" s="111"/>
      <c r="I358" s="110" t="s">
        <v>265</v>
      </c>
      <c r="J358" s="109">
        <f>$J$83</f>
        <v>0.95263556963121487</v>
      </c>
      <c r="K358" s="111"/>
      <c r="L358" s="111"/>
      <c r="M358" s="108"/>
      <c r="N358" s="108"/>
      <c r="O358" s="111"/>
      <c r="P358" s="111"/>
      <c r="Q358" s="111"/>
      <c r="R358" s="111"/>
      <c r="S358" s="111"/>
      <c r="T358" s="111"/>
      <c r="U358" s="111"/>
    </row>
    <row r="359" spans="2:21">
      <c r="B359" s="112"/>
      <c r="C359" s="111"/>
      <c r="D359" s="111"/>
      <c r="E359" s="111"/>
      <c r="F359" s="111"/>
      <c r="G359" s="111"/>
      <c r="H359" s="111"/>
      <c r="I359" s="110" t="s">
        <v>264</v>
      </c>
      <c r="J359" s="109">
        <f>$L$201</f>
        <v>0.95418251235664331</v>
      </c>
      <c r="K359" s="111"/>
      <c r="L359" s="111"/>
      <c r="M359" s="108"/>
      <c r="N359" s="108"/>
      <c r="O359" s="111"/>
      <c r="P359" s="111"/>
      <c r="Q359" s="111"/>
      <c r="R359" s="111"/>
      <c r="S359" s="111"/>
      <c r="T359" s="111"/>
      <c r="U359" s="111"/>
    </row>
    <row r="360" spans="2:21">
      <c r="B360" s="107"/>
      <c r="C360" s="105"/>
      <c r="D360" s="105"/>
      <c r="E360" s="105"/>
      <c r="F360" s="105"/>
      <c r="G360" s="105"/>
      <c r="H360" s="105"/>
      <c r="I360" s="110" t="s">
        <v>263</v>
      </c>
      <c r="J360" s="109">
        <f>$J$68</f>
        <v>1</v>
      </c>
      <c r="K360" s="105"/>
      <c r="L360" s="105"/>
      <c r="M360" s="108"/>
      <c r="N360" s="108"/>
    </row>
    <row r="361" spans="2:21">
      <c r="B361" s="107"/>
      <c r="C361" s="105"/>
      <c r="D361" s="105"/>
      <c r="E361" s="105"/>
      <c r="F361" s="105"/>
      <c r="G361" s="105"/>
      <c r="H361" s="105"/>
      <c r="I361" s="110" t="s">
        <v>262</v>
      </c>
      <c r="J361" s="109">
        <f>$L$211</f>
        <v>0.95418251235664331</v>
      </c>
      <c r="K361" s="105"/>
      <c r="L361" s="105"/>
      <c r="M361" s="108"/>
      <c r="N361" s="108"/>
    </row>
    <row r="362" spans="2:21">
      <c r="B362" s="107"/>
      <c r="C362" s="105"/>
      <c r="D362" s="105"/>
      <c r="E362" s="105"/>
      <c r="F362" s="105"/>
      <c r="G362" s="105"/>
      <c r="H362" s="105"/>
      <c r="I362" s="105"/>
      <c r="J362" s="105"/>
      <c r="K362" s="105"/>
      <c r="L362" s="105"/>
      <c r="M362" s="108"/>
      <c r="N362" s="108"/>
    </row>
    <row r="363" spans="2:21">
      <c r="B363" s="107"/>
      <c r="C363" s="105"/>
      <c r="D363" s="105"/>
      <c r="E363" s="105"/>
      <c r="F363" s="105"/>
      <c r="G363" s="105"/>
      <c r="H363" s="105"/>
      <c r="I363" s="105"/>
      <c r="J363" s="105"/>
      <c r="K363" s="105"/>
      <c r="L363" s="105"/>
      <c r="M363" s="108"/>
      <c r="N363" s="108"/>
    </row>
    <row r="364" spans="2:21">
      <c r="B364" s="107"/>
      <c r="C364" s="105"/>
      <c r="D364" s="105"/>
      <c r="E364" s="105"/>
      <c r="F364" s="105"/>
      <c r="G364" s="105"/>
      <c r="H364" s="105"/>
      <c r="I364" s="105"/>
      <c r="J364" s="105"/>
      <c r="K364" s="105"/>
      <c r="L364" s="105"/>
      <c r="M364" s="108"/>
      <c r="N364" s="108"/>
    </row>
    <row r="365" spans="2:21">
      <c r="B365" s="107"/>
      <c r="C365" s="105"/>
      <c r="D365" s="105"/>
      <c r="E365" s="105"/>
      <c r="F365" s="105"/>
      <c r="G365" s="105"/>
      <c r="H365" s="105"/>
      <c r="I365" s="105"/>
      <c r="J365" s="105"/>
      <c r="K365" s="105"/>
      <c r="L365" s="105"/>
      <c r="M365" s="108"/>
      <c r="N365" s="108"/>
    </row>
    <row r="366" spans="2:21">
      <c r="B366" s="107"/>
      <c r="C366" s="105"/>
      <c r="D366" s="105"/>
      <c r="E366" s="105"/>
      <c r="F366" s="105"/>
      <c r="G366" s="105"/>
      <c r="H366" s="105"/>
      <c r="I366" s="105"/>
      <c r="J366" s="105"/>
      <c r="K366" s="105"/>
      <c r="L366" s="105"/>
      <c r="M366" s="108"/>
      <c r="N366" s="108"/>
    </row>
    <row r="367" spans="2:21">
      <c r="B367" s="107"/>
      <c r="C367" s="105"/>
      <c r="D367" s="105"/>
      <c r="E367" s="105"/>
      <c r="F367" s="105"/>
      <c r="G367" s="105"/>
      <c r="H367" s="105"/>
      <c r="I367" s="105"/>
      <c r="J367" s="105"/>
      <c r="K367" s="105"/>
      <c r="L367" s="105"/>
      <c r="M367" s="108"/>
      <c r="N367" s="108"/>
    </row>
    <row r="368" spans="2:21">
      <c r="B368" s="107"/>
      <c r="C368" s="105"/>
      <c r="D368" s="105"/>
      <c r="E368" s="105"/>
      <c r="F368" s="105"/>
      <c r="G368" s="105"/>
      <c r="H368" s="105"/>
      <c r="I368" s="105"/>
      <c r="J368" s="105"/>
      <c r="K368" s="105"/>
      <c r="L368" s="105"/>
      <c r="M368" s="108"/>
      <c r="N368" s="108"/>
    </row>
    <row r="369" spans="2:14">
      <c r="B369" s="107"/>
      <c r="C369" s="105"/>
      <c r="D369" s="105"/>
      <c r="E369" s="105"/>
      <c r="F369" s="105"/>
      <c r="G369" s="105"/>
      <c r="H369" s="105"/>
      <c r="I369" s="105"/>
      <c r="J369" s="105"/>
      <c r="K369" s="105"/>
      <c r="L369" s="105"/>
      <c r="M369" s="108"/>
      <c r="N369" s="108"/>
    </row>
    <row r="370" spans="2:14">
      <c r="B370" s="107"/>
      <c r="C370" s="105"/>
      <c r="D370" s="105"/>
      <c r="E370" s="105"/>
      <c r="F370" s="105"/>
      <c r="G370" s="105"/>
      <c r="H370" s="105"/>
      <c r="I370" s="105"/>
      <c r="J370" s="105"/>
      <c r="K370" s="105"/>
      <c r="L370" s="105"/>
      <c r="M370" s="108"/>
      <c r="N370" s="108"/>
    </row>
    <row r="371" spans="2:14">
      <c r="B371" s="107"/>
      <c r="C371" s="105"/>
      <c r="D371" s="105"/>
      <c r="E371" s="105"/>
      <c r="F371" s="105"/>
      <c r="G371" s="105"/>
      <c r="H371" s="105"/>
      <c r="I371" s="105"/>
      <c r="J371" s="105"/>
      <c r="K371" s="105"/>
      <c r="L371" s="105"/>
      <c r="M371" s="108"/>
      <c r="N371" s="108"/>
    </row>
    <row r="372" spans="2:14">
      <c r="B372" s="107"/>
      <c r="C372" s="105"/>
      <c r="D372" s="105"/>
      <c r="E372" s="105"/>
      <c r="F372" s="105"/>
      <c r="G372" s="105"/>
      <c r="H372" s="105"/>
      <c r="I372" s="105"/>
      <c r="J372" s="105"/>
      <c r="K372" s="105"/>
      <c r="L372" s="105"/>
      <c r="M372" s="108"/>
      <c r="N372" s="108"/>
    </row>
    <row r="373" spans="2:14">
      <c r="B373" s="107"/>
      <c r="C373" s="105"/>
      <c r="D373" s="105"/>
      <c r="E373" s="105"/>
      <c r="F373" s="105"/>
      <c r="G373" s="105"/>
      <c r="H373" s="105"/>
      <c r="I373" s="105"/>
      <c r="J373" s="105"/>
      <c r="K373" s="105"/>
      <c r="L373" s="105"/>
      <c r="M373" s="108"/>
      <c r="N373" s="108"/>
    </row>
    <row r="374" spans="2:14">
      <c r="B374" s="107"/>
      <c r="C374" s="105"/>
      <c r="D374" s="105"/>
      <c r="E374" s="105"/>
      <c r="F374" s="105"/>
      <c r="G374" s="105"/>
      <c r="H374" s="105"/>
      <c r="I374" s="105"/>
      <c r="J374" s="105"/>
      <c r="K374" s="105"/>
      <c r="L374" s="105"/>
      <c r="M374" s="108"/>
      <c r="N374" s="108"/>
    </row>
    <row r="375" spans="2:14">
      <c r="B375" s="107"/>
      <c r="C375" s="105"/>
      <c r="D375" s="105"/>
      <c r="E375" s="105"/>
      <c r="F375" s="105"/>
      <c r="G375" s="105"/>
      <c r="H375" s="105"/>
      <c r="I375" s="105"/>
      <c r="J375" s="105"/>
      <c r="K375" s="105"/>
      <c r="L375" s="105"/>
      <c r="M375" s="108"/>
      <c r="N375" s="108"/>
    </row>
    <row r="376" spans="2:14">
      <c r="B376" s="107"/>
      <c r="C376" s="105"/>
      <c r="D376" s="105"/>
      <c r="E376" s="105"/>
      <c r="F376" s="105"/>
      <c r="G376" s="105"/>
      <c r="H376" s="105"/>
      <c r="I376" s="105"/>
      <c r="J376" s="105"/>
      <c r="K376" s="105"/>
      <c r="L376" s="105"/>
      <c r="M376" s="108"/>
      <c r="N376" s="108"/>
    </row>
    <row r="377" spans="2:14">
      <c r="B377" s="107"/>
      <c r="C377" s="105"/>
      <c r="D377" s="105"/>
      <c r="E377" s="105"/>
      <c r="F377" s="105"/>
      <c r="G377" s="105"/>
      <c r="H377" s="105"/>
      <c r="I377" s="105"/>
      <c r="J377" s="105"/>
      <c r="K377" s="105"/>
      <c r="L377" s="105"/>
      <c r="M377" s="108"/>
      <c r="N377" s="108"/>
    </row>
    <row r="378" spans="2:14">
      <c r="B378" s="107"/>
      <c r="C378" s="105"/>
      <c r="D378" s="105"/>
      <c r="E378" s="105"/>
      <c r="F378" s="105"/>
      <c r="G378" s="105"/>
      <c r="H378" s="105"/>
      <c r="I378" s="105"/>
      <c r="J378" s="105"/>
      <c r="K378" s="105"/>
      <c r="L378" s="105"/>
      <c r="M378" s="108"/>
      <c r="N378" s="108"/>
    </row>
    <row r="379" spans="2:14">
      <c r="B379" s="107"/>
      <c r="C379" s="105"/>
      <c r="D379" s="105"/>
      <c r="E379" s="105"/>
      <c r="F379" s="105"/>
      <c r="G379" s="105"/>
      <c r="H379" s="105"/>
      <c r="I379" s="105"/>
      <c r="J379" s="105"/>
      <c r="K379" s="105"/>
      <c r="L379" s="105"/>
      <c r="M379" s="108"/>
      <c r="N379" s="108"/>
    </row>
    <row r="380" spans="2:14">
      <c r="B380" s="107"/>
      <c r="C380" s="105"/>
      <c r="D380" s="105"/>
      <c r="E380" s="105"/>
      <c r="F380" s="105"/>
      <c r="G380" s="105"/>
      <c r="H380" s="105"/>
      <c r="I380" s="105"/>
      <c r="J380" s="105"/>
      <c r="K380" s="105"/>
      <c r="L380" s="105"/>
      <c r="M380" s="108"/>
      <c r="N380" s="108"/>
    </row>
    <row r="381" spans="2:14">
      <c r="B381" s="107"/>
      <c r="C381" s="105"/>
      <c r="D381" s="105"/>
      <c r="E381" s="105"/>
      <c r="F381" s="105"/>
      <c r="G381" s="105"/>
      <c r="H381" s="105"/>
      <c r="I381" s="105"/>
      <c r="J381" s="105"/>
      <c r="K381" s="105"/>
      <c r="L381" s="105"/>
      <c r="M381" s="108"/>
      <c r="N381" s="108"/>
    </row>
    <row r="382" spans="2:14">
      <c r="B382" s="107"/>
      <c r="C382" s="105"/>
      <c r="D382" s="105"/>
      <c r="E382" s="105"/>
      <c r="F382" s="105"/>
      <c r="G382" s="105"/>
      <c r="H382" s="105"/>
      <c r="I382" s="105"/>
      <c r="J382" s="105"/>
      <c r="K382" s="105"/>
      <c r="L382" s="105"/>
      <c r="M382" s="108"/>
      <c r="N382" s="108"/>
    </row>
    <row r="383" spans="2:14">
      <c r="B383" s="107"/>
      <c r="C383" s="105"/>
      <c r="D383" s="105"/>
      <c r="E383" s="105"/>
      <c r="F383" s="105"/>
      <c r="G383" s="105"/>
      <c r="H383" s="105"/>
      <c r="I383" s="105"/>
      <c r="J383" s="105"/>
      <c r="K383" s="105"/>
      <c r="L383" s="105"/>
      <c r="M383" s="108"/>
      <c r="N383" s="108"/>
    </row>
    <row r="384" spans="2:14">
      <c r="B384" s="107"/>
      <c r="C384" s="105"/>
      <c r="D384" s="105"/>
      <c r="E384" s="105"/>
      <c r="F384" s="105"/>
      <c r="G384" s="105"/>
      <c r="H384" s="105"/>
      <c r="I384" s="105"/>
      <c r="J384" s="105"/>
      <c r="K384" s="105"/>
      <c r="L384" s="105"/>
      <c r="M384" s="108"/>
      <c r="N384" s="108"/>
    </row>
    <row r="385" spans="2:14">
      <c r="B385" s="107"/>
      <c r="C385" s="105"/>
      <c r="D385" s="105"/>
      <c r="E385" s="105"/>
      <c r="F385" s="105"/>
      <c r="G385" s="105"/>
      <c r="H385" s="105"/>
      <c r="I385" s="105"/>
      <c r="J385" s="105"/>
      <c r="K385" s="105"/>
      <c r="L385" s="105"/>
      <c r="M385" s="108"/>
      <c r="N385" s="108"/>
    </row>
    <row r="386" spans="2:14">
      <c r="B386" s="107"/>
      <c r="C386" s="105"/>
      <c r="D386" s="105"/>
      <c r="E386" s="105"/>
      <c r="F386" s="105"/>
      <c r="G386" s="105"/>
      <c r="H386" s="105"/>
      <c r="I386" s="105"/>
      <c r="J386" s="105"/>
      <c r="K386" s="105"/>
      <c r="L386" s="105"/>
      <c r="M386" s="108"/>
      <c r="N386" s="108"/>
    </row>
    <row r="387" spans="2:14">
      <c r="B387" s="107"/>
      <c r="C387" s="105"/>
      <c r="D387" s="105"/>
      <c r="E387" s="105"/>
      <c r="F387" s="105"/>
      <c r="G387" s="105"/>
      <c r="H387" s="105"/>
      <c r="I387" s="105"/>
      <c r="J387" s="105"/>
      <c r="K387" s="105"/>
      <c r="L387" s="105"/>
      <c r="M387" s="108"/>
      <c r="N387" s="108"/>
    </row>
    <row r="388" spans="2:14">
      <c r="B388" s="107"/>
      <c r="C388" s="105"/>
      <c r="D388" s="105"/>
      <c r="E388" s="105"/>
      <c r="F388" s="105"/>
      <c r="G388" s="105"/>
      <c r="H388" s="105"/>
      <c r="I388" s="105"/>
      <c r="J388" s="105"/>
      <c r="K388" s="105"/>
      <c r="L388" s="105"/>
      <c r="M388" s="108"/>
      <c r="N388" s="108"/>
    </row>
    <row r="389" spans="2:14">
      <c r="B389" s="107"/>
      <c r="C389" s="105"/>
      <c r="D389" s="105"/>
      <c r="E389" s="105"/>
      <c r="F389" s="105"/>
      <c r="G389" s="105"/>
      <c r="H389" s="105"/>
      <c r="I389" s="105"/>
      <c r="J389" s="105"/>
      <c r="K389" s="105"/>
      <c r="L389" s="105"/>
      <c r="M389" s="108"/>
      <c r="N389" s="108"/>
    </row>
    <row r="390" spans="2:14">
      <c r="B390" s="107"/>
      <c r="C390" s="105"/>
      <c r="D390" s="105"/>
      <c r="E390" s="105"/>
      <c r="F390" s="105"/>
      <c r="G390" s="105"/>
      <c r="H390" s="105"/>
      <c r="I390" s="105"/>
      <c r="J390" s="105"/>
      <c r="K390" s="105"/>
      <c r="L390" s="105"/>
      <c r="M390" s="108"/>
      <c r="N390" s="108"/>
    </row>
    <row r="391" spans="2:14">
      <c r="B391" s="107"/>
      <c r="C391" s="105"/>
      <c r="D391" s="105"/>
      <c r="E391" s="105"/>
      <c r="F391" s="105"/>
      <c r="G391" s="105"/>
      <c r="H391" s="105"/>
      <c r="I391" s="105"/>
      <c r="J391" s="105"/>
      <c r="K391" s="105"/>
      <c r="L391" s="105"/>
      <c r="M391" s="108"/>
      <c r="N391" s="108"/>
    </row>
    <row r="392" spans="2:14">
      <c r="B392" s="107"/>
      <c r="C392" s="105"/>
      <c r="D392" s="105"/>
      <c r="E392" s="105"/>
      <c r="F392" s="105"/>
      <c r="G392" s="105"/>
      <c r="H392" s="105"/>
      <c r="I392" s="105"/>
      <c r="J392" s="105"/>
      <c r="K392" s="105"/>
      <c r="L392" s="105"/>
      <c r="M392" s="108"/>
      <c r="N392" s="108"/>
    </row>
    <row r="393" spans="2:14">
      <c r="B393" s="107"/>
      <c r="C393" s="105"/>
      <c r="D393" s="105"/>
      <c r="E393" s="105"/>
      <c r="F393" s="105"/>
      <c r="G393" s="105"/>
      <c r="H393" s="105"/>
      <c r="I393" s="105"/>
      <c r="J393" s="105"/>
      <c r="K393" s="105"/>
      <c r="L393" s="105"/>
      <c r="M393" s="108"/>
      <c r="N393" s="108"/>
    </row>
    <row r="394" spans="2:14">
      <c r="B394" s="107"/>
      <c r="C394" s="105"/>
      <c r="D394" s="105"/>
      <c r="E394" s="105"/>
      <c r="F394" s="105"/>
      <c r="G394" s="105"/>
      <c r="H394" s="105"/>
      <c r="I394" s="105"/>
      <c r="J394" s="105"/>
      <c r="K394" s="105"/>
      <c r="L394" s="105"/>
      <c r="M394" s="108"/>
      <c r="N394" s="108"/>
    </row>
    <row r="395" spans="2:14">
      <c r="B395" s="107"/>
      <c r="C395" s="105"/>
      <c r="D395" s="105"/>
      <c r="E395" s="105"/>
      <c r="F395" s="105"/>
      <c r="G395" s="105"/>
      <c r="H395" s="105"/>
      <c r="I395" s="105"/>
      <c r="J395" s="105"/>
      <c r="K395" s="105"/>
      <c r="L395" s="105"/>
      <c r="M395" s="108"/>
      <c r="N395" s="108"/>
    </row>
    <row r="396" spans="2:14">
      <c r="B396" s="107"/>
      <c r="C396" s="105"/>
      <c r="D396" s="105"/>
      <c r="E396" s="105"/>
      <c r="F396" s="105"/>
      <c r="G396" s="105"/>
      <c r="H396" s="105"/>
      <c r="I396" s="105"/>
      <c r="J396" s="105"/>
      <c r="K396" s="105"/>
      <c r="L396" s="105"/>
      <c r="M396" s="108"/>
      <c r="N396" s="108"/>
    </row>
    <row r="397" spans="2:14">
      <c r="B397" s="107"/>
      <c r="C397" s="105"/>
      <c r="D397" s="105"/>
      <c r="E397" s="105"/>
      <c r="F397" s="105"/>
      <c r="G397" s="105"/>
      <c r="H397" s="105"/>
      <c r="I397" s="105"/>
      <c r="J397" s="105"/>
      <c r="K397" s="105"/>
      <c r="L397" s="105"/>
      <c r="M397" s="108"/>
      <c r="N397" s="108"/>
    </row>
    <row r="398" spans="2:14">
      <c r="B398" s="107"/>
      <c r="C398" s="105"/>
      <c r="D398" s="105"/>
      <c r="E398" s="105"/>
      <c r="F398" s="105"/>
      <c r="G398" s="105"/>
      <c r="H398" s="105"/>
      <c r="I398" s="105"/>
      <c r="J398" s="105"/>
      <c r="K398" s="105"/>
      <c r="L398" s="105"/>
      <c r="M398" s="108"/>
      <c r="N398" s="108"/>
    </row>
    <row r="399" spans="2:14">
      <c r="B399" s="107"/>
      <c r="C399" s="105"/>
      <c r="D399" s="105"/>
      <c r="E399" s="105"/>
      <c r="F399" s="105"/>
      <c r="G399" s="105"/>
      <c r="H399" s="105"/>
      <c r="I399" s="105"/>
      <c r="J399" s="105"/>
      <c r="K399" s="105"/>
      <c r="L399" s="105"/>
      <c r="M399" s="108"/>
      <c r="N399" s="108"/>
    </row>
    <row r="400" spans="2:14">
      <c r="B400" s="107"/>
      <c r="C400" s="105"/>
      <c r="D400" s="105"/>
      <c r="E400" s="105"/>
      <c r="F400" s="105"/>
      <c r="G400" s="105"/>
      <c r="H400" s="105"/>
      <c r="I400" s="105"/>
      <c r="J400" s="105"/>
      <c r="K400" s="105"/>
      <c r="L400" s="105"/>
      <c r="M400" s="108"/>
      <c r="N400" s="108"/>
    </row>
    <row r="401" spans="2:14">
      <c r="B401" s="107"/>
      <c r="C401" s="105"/>
      <c r="D401" s="105"/>
      <c r="E401" s="105"/>
      <c r="F401" s="105"/>
      <c r="G401" s="105"/>
      <c r="H401" s="105"/>
      <c r="I401" s="105"/>
      <c r="J401" s="105"/>
      <c r="K401" s="105"/>
      <c r="L401" s="105"/>
      <c r="M401" s="108"/>
      <c r="N401" s="108"/>
    </row>
    <row r="402" spans="2:14">
      <c r="B402" s="107"/>
      <c r="C402" s="105"/>
      <c r="D402" s="105"/>
      <c r="E402" s="105"/>
      <c r="F402" s="105"/>
      <c r="G402" s="105"/>
      <c r="H402" s="105"/>
      <c r="I402" s="105"/>
      <c r="J402" s="105"/>
      <c r="K402" s="105"/>
      <c r="L402" s="105"/>
      <c r="M402" s="108"/>
      <c r="N402" s="108"/>
    </row>
    <row r="403" spans="2:14">
      <c r="B403" s="107"/>
      <c r="C403" s="105"/>
      <c r="D403" s="105"/>
      <c r="E403" s="105"/>
      <c r="F403" s="105"/>
      <c r="G403" s="105"/>
      <c r="H403" s="105"/>
      <c r="I403" s="105"/>
      <c r="J403" s="105"/>
      <c r="K403" s="105"/>
      <c r="L403" s="105"/>
      <c r="M403" s="108"/>
      <c r="N403" s="108"/>
    </row>
    <row r="404" spans="2:14">
      <c r="B404" s="107"/>
      <c r="C404" s="105"/>
      <c r="D404" s="105"/>
      <c r="E404" s="105"/>
      <c r="F404" s="105"/>
      <c r="G404" s="105"/>
      <c r="H404" s="105"/>
      <c r="I404" s="105"/>
      <c r="J404" s="105"/>
      <c r="K404" s="105"/>
      <c r="L404" s="105"/>
      <c r="M404" s="108"/>
      <c r="N404" s="108"/>
    </row>
    <row r="405" spans="2:14">
      <c r="B405" s="107"/>
      <c r="C405" s="105"/>
      <c r="D405" s="105"/>
      <c r="E405" s="105"/>
      <c r="F405" s="105"/>
      <c r="G405" s="105"/>
      <c r="H405" s="105"/>
      <c r="I405" s="105"/>
      <c r="J405" s="105"/>
      <c r="K405" s="105"/>
      <c r="L405" s="105"/>
      <c r="M405" s="108"/>
      <c r="N405" s="108"/>
    </row>
    <row r="406" spans="2:14">
      <c r="B406" s="107"/>
      <c r="C406" s="105"/>
      <c r="D406" s="105"/>
      <c r="E406" s="105"/>
      <c r="F406" s="105"/>
      <c r="G406" s="105"/>
      <c r="H406" s="105"/>
      <c r="I406" s="105"/>
      <c r="J406" s="105"/>
      <c r="K406" s="105"/>
      <c r="L406" s="105"/>
      <c r="M406" s="108"/>
      <c r="N406" s="108"/>
    </row>
    <row r="407" spans="2:14">
      <c r="B407" s="107"/>
      <c r="C407" s="105"/>
      <c r="D407" s="105"/>
      <c r="E407" s="105"/>
      <c r="F407" s="105"/>
      <c r="G407" s="105"/>
      <c r="H407" s="105"/>
      <c r="I407" s="105"/>
      <c r="J407" s="105"/>
      <c r="K407" s="105"/>
      <c r="L407" s="105"/>
      <c r="M407" s="108"/>
      <c r="N407" s="108"/>
    </row>
    <row r="408" spans="2:14">
      <c r="B408" s="107"/>
      <c r="C408" s="105"/>
      <c r="D408" s="105"/>
      <c r="E408" s="105"/>
      <c r="F408" s="105"/>
      <c r="G408" s="105"/>
      <c r="H408" s="105"/>
      <c r="I408" s="105"/>
      <c r="J408" s="105"/>
      <c r="K408" s="105"/>
      <c r="L408" s="105"/>
      <c r="M408" s="108"/>
      <c r="N408" s="108"/>
    </row>
    <row r="409" spans="2:14">
      <c r="B409" s="107"/>
      <c r="C409" s="105"/>
      <c r="D409" s="105"/>
      <c r="E409" s="105"/>
      <c r="F409" s="105"/>
      <c r="G409" s="105"/>
      <c r="H409" s="105"/>
      <c r="I409" s="105"/>
      <c r="J409" s="105"/>
      <c r="K409" s="105"/>
      <c r="L409" s="105"/>
      <c r="M409" s="108"/>
      <c r="N409" s="108"/>
    </row>
    <row r="410" spans="2:14">
      <c r="B410" s="107"/>
      <c r="C410" s="105"/>
      <c r="D410" s="105"/>
      <c r="E410" s="105"/>
      <c r="F410" s="105"/>
      <c r="G410" s="105"/>
      <c r="H410" s="105"/>
      <c r="I410" s="105"/>
      <c r="J410" s="105"/>
      <c r="K410" s="105"/>
      <c r="L410" s="105"/>
      <c r="M410" s="108"/>
      <c r="N410" s="108"/>
    </row>
    <row r="411" spans="2:14">
      <c r="B411" s="107"/>
      <c r="C411" s="105"/>
      <c r="D411" s="105"/>
      <c r="E411" s="105"/>
      <c r="F411" s="105"/>
      <c r="G411" s="105"/>
      <c r="H411" s="105"/>
      <c r="I411" s="105"/>
      <c r="J411" s="105"/>
      <c r="K411" s="105"/>
      <c r="L411" s="105"/>
      <c r="M411" s="108"/>
      <c r="N411" s="108"/>
    </row>
    <row r="412" spans="2:14">
      <c r="B412" s="107"/>
      <c r="C412" s="105"/>
      <c r="D412" s="105"/>
      <c r="E412" s="105"/>
      <c r="F412" s="105"/>
      <c r="G412" s="105"/>
      <c r="H412" s="105"/>
      <c r="I412" s="105"/>
      <c r="J412" s="105"/>
      <c r="K412" s="105"/>
      <c r="L412" s="105"/>
      <c r="M412" s="108"/>
      <c r="N412" s="108"/>
    </row>
    <row r="413" spans="2:14">
      <c r="B413" s="107"/>
      <c r="C413" s="105"/>
      <c r="D413" s="105"/>
      <c r="E413" s="105"/>
      <c r="F413" s="105"/>
      <c r="G413" s="105"/>
      <c r="H413" s="105"/>
      <c r="I413" s="105"/>
      <c r="J413" s="105"/>
      <c r="K413" s="105"/>
      <c r="L413" s="105"/>
      <c r="M413" s="108"/>
      <c r="N413" s="108"/>
    </row>
    <row r="414" spans="2:14">
      <c r="B414" s="107"/>
      <c r="C414" s="105"/>
      <c r="D414" s="105"/>
      <c r="E414" s="105"/>
      <c r="F414" s="105"/>
      <c r="G414" s="105"/>
      <c r="H414" s="105"/>
      <c r="I414" s="105"/>
      <c r="J414" s="105"/>
      <c r="K414" s="105"/>
      <c r="L414" s="105"/>
      <c r="M414" s="108"/>
      <c r="N414" s="108"/>
    </row>
    <row r="415" spans="2:14">
      <c r="B415" s="107"/>
      <c r="C415" s="105"/>
      <c r="D415" s="105"/>
      <c r="E415" s="105"/>
      <c r="F415" s="105"/>
      <c r="G415" s="105"/>
      <c r="H415" s="105"/>
      <c r="I415" s="105"/>
      <c r="J415" s="105"/>
      <c r="K415" s="105"/>
      <c r="L415" s="105"/>
      <c r="M415" s="108"/>
      <c r="N415" s="108"/>
    </row>
    <row r="416" spans="2:14">
      <c r="B416" s="107"/>
      <c r="C416" s="105"/>
      <c r="D416" s="105"/>
      <c r="E416" s="105"/>
      <c r="F416" s="105"/>
      <c r="G416" s="105"/>
      <c r="H416" s="105"/>
      <c r="I416" s="105"/>
      <c r="J416" s="105"/>
      <c r="K416" s="105"/>
      <c r="L416" s="105"/>
      <c r="M416" s="108"/>
      <c r="N416" s="108"/>
    </row>
    <row r="417" spans="2:14">
      <c r="B417" s="107"/>
      <c r="C417" s="105"/>
      <c r="D417" s="105"/>
      <c r="E417" s="105"/>
      <c r="F417" s="105"/>
      <c r="G417" s="105"/>
      <c r="H417" s="105"/>
      <c r="I417" s="105"/>
      <c r="J417" s="105"/>
      <c r="K417" s="105"/>
      <c r="L417" s="105"/>
      <c r="M417" s="108"/>
      <c r="N417" s="108"/>
    </row>
    <row r="418" spans="2:14">
      <c r="B418" s="107"/>
      <c r="C418" s="105"/>
      <c r="D418" s="105"/>
      <c r="E418" s="105"/>
      <c r="F418" s="105"/>
      <c r="G418" s="105"/>
      <c r="H418" s="105"/>
      <c r="I418" s="105"/>
      <c r="J418" s="105"/>
      <c r="K418" s="105"/>
      <c r="L418" s="105"/>
      <c r="M418" s="108"/>
      <c r="N418" s="108"/>
    </row>
    <row r="419" spans="2:14">
      <c r="B419" s="107"/>
      <c r="C419" s="105"/>
      <c r="D419" s="105"/>
      <c r="E419" s="105"/>
      <c r="F419" s="105"/>
      <c r="G419" s="105"/>
      <c r="H419" s="105"/>
      <c r="I419" s="105"/>
      <c r="J419" s="105"/>
      <c r="K419" s="105"/>
      <c r="L419" s="105"/>
      <c r="M419" s="108"/>
      <c r="N419" s="108"/>
    </row>
    <row r="420" spans="2:14">
      <c r="B420" s="107"/>
      <c r="C420" s="105"/>
      <c r="D420" s="105"/>
      <c r="E420" s="105"/>
      <c r="F420" s="105"/>
      <c r="G420" s="105"/>
      <c r="H420" s="105"/>
      <c r="I420" s="105"/>
      <c r="J420" s="105"/>
      <c r="K420" s="105"/>
      <c r="L420" s="105"/>
      <c r="M420" s="108"/>
      <c r="N420" s="108"/>
    </row>
    <row r="421" spans="2:14">
      <c r="B421" s="107"/>
      <c r="C421" s="105"/>
      <c r="D421" s="105"/>
      <c r="E421" s="105"/>
      <c r="F421" s="105"/>
      <c r="G421" s="105"/>
      <c r="H421" s="105"/>
      <c r="I421" s="105"/>
      <c r="J421" s="105"/>
      <c r="K421" s="105"/>
      <c r="L421" s="105"/>
      <c r="M421" s="108"/>
      <c r="N421" s="108"/>
    </row>
    <row r="422" spans="2:14">
      <c r="B422" s="107"/>
      <c r="C422" s="105"/>
      <c r="D422" s="105"/>
      <c r="E422" s="105"/>
      <c r="F422" s="105"/>
      <c r="G422" s="105"/>
      <c r="H422" s="105"/>
      <c r="I422" s="105"/>
      <c r="J422" s="105"/>
      <c r="K422" s="105"/>
      <c r="L422" s="105"/>
      <c r="M422" s="108"/>
      <c r="N422" s="108"/>
    </row>
    <row r="423" spans="2:14">
      <c r="B423" s="107"/>
      <c r="C423" s="105"/>
      <c r="D423" s="105"/>
      <c r="E423" s="105"/>
      <c r="F423" s="105"/>
      <c r="G423" s="105"/>
      <c r="H423" s="105"/>
      <c r="I423" s="105"/>
      <c r="J423" s="105"/>
      <c r="K423" s="105"/>
      <c r="L423" s="105"/>
      <c r="M423" s="108"/>
      <c r="N423" s="108"/>
    </row>
    <row r="424" spans="2:14">
      <c r="B424" s="107"/>
      <c r="C424" s="105"/>
      <c r="D424" s="105"/>
      <c r="E424" s="105"/>
      <c r="F424" s="105"/>
      <c r="G424" s="105"/>
      <c r="H424" s="105"/>
      <c r="I424" s="105"/>
      <c r="J424" s="105"/>
      <c r="K424" s="105"/>
      <c r="L424" s="105"/>
      <c r="M424" s="108"/>
      <c r="N424" s="108"/>
    </row>
    <row r="425" spans="2:14">
      <c r="B425" s="107"/>
      <c r="C425" s="105"/>
      <c r="D425" s="105"/>
      <c r="E425" s="105"/>
      <c r="F425" s="105"/>
      <c r="G425" s="105"/>
      <c r="H425" s="105"/>
      <c r="I425" s="105"/>
      <c r="J425" s="105"/>
      <c r="K425" s="105"/>
      <c r="L425" s="105"/>
      <c r="M425" s="108"/>
      <c r="N425" s="108"/>
    </row>
    <row r="426" spans="2:14">
      <c r="B426" s="107"/>
      <c r="C426" s="105"/>
      <c r="D426" s="105"/>
      <c r="E426" s="105"/>
      <c r="F426" s="105"/>
      <c r="G426" s="105"/>
      <c r="H426" s="105"/>
      <c r="I426" s="105"/>
      <c r="J426" s="105"/>
      <c r="K426" s="105"/>
      <c r="L426" s="105"/>
      <c r="M426" s="108"/>
      <c r="N426" s="108"/>
    </row>
    <row r="427" spans="2:14">
      <c r="B427" s="107"/>
      <c r="C427" s="105"/>
      <c r="D427" s="105"/>
      <c r="E427" s="105"/>
      <c r="F427" s="105"/>
      <c r="G427" s="105"/>
      <c r="H427" s="105"/>
      <c r="I427" s="105"/>
      <c r="J427" s="105"/>
      <c r="K427" s="105"/>
      <c r="L427" s="105"/>
      <c r="M427" s="108"/>
      <c r="N427" s="108"/>
    </row>
    <row r="428" spans="2:14">
      <c r="B428" s="107"/>
      <c r="C428" s="105"/>
      <c r="D428" s="105"/>
      <c r="E428" s="105"/>
      <c r="F428" s="105"/>
      <c r="G428" s="105"/>
      <c r="H428" s="105"/>
      <c r="I428" s="105"/>
      <c r="J428" s="105"/>
      <c r="K428" s="105"/>
      <c r="L428" s="105"/>
      <c r="M428" s="108"/>
      <c r="N428" s="108"/>
    </row>
    <row r="429" spans="2:14">
      <c r="B429" s="107"/>
      <c r="C429" s="105"/>
      <c r="D429" s="105"/>
      <c r="E429" s="105"/>
      <c r="F429" s="105"/>
      <c r="G429" s="105"/>
      <c r="H429" s="105"/>
      <c r="I429" s="105"/>
      <c r="J429" s="105"/>
      <c r="K429" s="105"/>
      <c r="L429" s="105"/>
      <c r="M429" s="108"/>
      <c r="N429" s="108"/>
    </row>
    <row r="430" spans="2:14">
      <c r="B430" s="107"/>
      <c r="C430" s="105"/>
      <c r="D430" s="105"/>
      <c r="E430" s="105"/>
      <c r="F430" s="105"/>
      <c r="G430" s="105"/>
      <c r="H430" s="105"/>
      <c r="I430" s="105"/>
      <c r="J430" s="105"/>
      <c r="K430" s="105"/>
      <c r="L430" s="105"/>
      <c r="M430" s="108"/>
      <c r="N430" s="108"/>
    </row>
    <row r="431" spans="2:14">
      <c r="B431" s="107"/>
      <c r="C431" s="105"/>
      <c r="D431" s="105"/>
      <c r="E431" s="105"/>
      <c r="F431" s="105"/>
      <c r="G431" s="105"/>
      <c r="H431" s="105"/>
      <c r="I431" s="105"/>
      <c r="J431" s="105"/>
      <c r="K431" s="105"/>
      <c r="L431" s="105"/>
      <c r="M431" s="108"/>
      <c r="N431" s="108"/>
    </row>
    <row r="432" spans="2:14">
      <c r="B432" s="107"/>
      <c r="C432" s="105"/>
      <c r="D432" s="105"/>
      <c r="E432" s="105"/>
      <c r="F432" s="105"/>
      <c r="G432" s="105"/>
      <c r="H432" s="105"/>
      <c r="I432" s="105"/>
      <c r="J432" s="105"/>
      <c r="K432" s="105"/>
      <c r="L432" s="105"/>
      <c r="M432" s="108"/>
      <c r="N432" s="108"/>
    </row>
    <row r="433" spans="2:14">
      <c r="B433" s="107"/>
      <c r="C433" s="105"/>
      <c r="D433" s="105"/>
      <c r="E433" s="105"/>
      <c r="F433" s="105"/>
      <c r="G433" s="105"/>
      <c r="H433" s="105"/>
      <c r="I433" s="105"/>
      <c r="J433" s="105"/>
      <c r="K433" s="105"/>
      <c r="L433" s="105"/>
      <c r="M433" s="108"/>
      <c r="N433" s="108"/>
    </row>
    <row r="434" spans="2:14">
      <c r="B434" s="107"/>
      <c r="C434" s="105"/>
      <c r="D434" s="105"/>
      <c r="E434" s="105"/>
      <c r="F434" s="105"/>
      <c r="G434" s="105"/>
      <c r="H434" s="105"/>
      <c r="I434" s="105"/>
      <c r="J434" s="105"/>
      <c r="K434" s="105"/>
      <c r="L434" s="105"/>
      <c r="M434" s="108"/>
      <c r="N434" s="108"/>
    </row>
    <row r="435" spans="2:14">
      <c r="B435" s="107"/>
      <c r="C435" s="105"/>
      <c r="D435" s="105"/>
      <c r="E435" s="105"/>
      <c r="F435" s="105"/>
      <c r="G435" s="105"/>
      <c r="H435" s="105"/>
      <c r="I435" s="105"/>
      <c r="J435" s="105"/>
      <c r="K435" s="105"/>
      <c r="L435" s="105"/>
      <c r="M435" s="108"/>
      <c r="N435" s="108"/>
    </row>
    <row r="436" spans="2:14">
      <c r="B436" s="107"/>
      <c r="C436" s="105"/>
      <c r="D436" s="105"/>
      <c r="E436" s="105"/>
      <c r="F436" s="105"/>
      <c r="G436" s="105"/>
      <c r="H436" s="105"/>
      <c r="I436" s="105"/>
      <c r="J436" s="105"/>
      <c r="K436" s="105"/>
      <c r="L436" s="105"/>
      <c r="M436" s="108"/>
      <c r="N436" s="108"/>
    </row>
    <row r="437" spans="2:14">
      <c r="B437" s="107"/>
      <c r="C437" s="105"/>
      <c r="D437" s="105"/>
      <c r="E437" s="105"/>
      <c r="F437" s="105"/>
      <c r="G437" s="105"/>
      <c r="H437" s="105"/>
      <c r="I437" s="105"/>
      <c r="J437" s="105"/>
      <c r="K437" s="105"/>
      <c r="L437" s="105"/>
      <c r="M437" s="108"/>
      <c r="N437" s="108"/>
    </row>
    <row r="438" spans="2:14">
      <c r="B438" s="107"/>
      <c r="C438" s="105"/>
      <c r="D438" s="105"/>
      <c r="E438" s="105"/>
      <c r="F438" s="105"/>
      <c r="G438" s="105"/>
      <c r="H438" s="105"/>
      <c r="I438" s="105"/>
      <c r="J438" s="105"/>
      <c r="K438" s="105"/>
      <c r="L438" s="105"/>
      <c r="M438" s="108"/>
      <c r="N438" s="108"/>
    </row>
    <row r="439" spans="2:14">
      <c r="B439" s="107"/>
      <c r="C439" s="105"/>
      <c r="D439" s="105"/>
      <c r="E439" s="105"/>
      <c r="F439" s="105"/>
      <c r="G439" s="105"/>
      <c r="H439" s="105"/>
      <c r="I439" s="105"/>
      <c r="J439" s="105"/>
      <c r="K439" s="105"/>
      <c r="L439" s="105"/>
      <c r="M439" s="108"/>
      <c r="N439" s="108"/>
    </row>
    <row r="440" spans="2:14">
      <c r="B440" s="107"/>
      <c r="C440" s="105"/>
      <c r="D440" s="105"/>
      <c r="E440" s="105"/>
      <c r="F440" s="105"/>
      <c r="G440" s="105"/>
      <c r="H440" s="105"/>
      <c r="I440" s="105"/>
      <c r="J440" s="105"/>
      <c r="K440" s="105"/>
      <c r="L440" s="105"/>
      <c r="M440" s="108"/>
      <c r="N440" s="108"/>
    </row>
    <row r="441" spans="2:14">
      <c r="B441" s="107"/>
      <c r="C441" s="105"/>
      <c r="D441" s="105"/>
      <c r="E441" s="105"/>
      <c r="F441" s="105"/>
      <c r="G441" s="105"/>
      <c r="H441" s="105"/>
      <c r="I441" s="105"/>
      <c r="J441" s="105"/>
      <c r="K441" s="105"/>
      <c r="L441" s="105"/>
      <c r="M441" s="108"/>
      <c r="N441" s="108"/>
    </row>
    <row r="442" spans="2:14">
      <c r="B442" s="107"/>
      <c r="C442" s="105"/>
      <c r="D442" s="105"/>
      <c r="E442" s="105"/>
      <c r="F442" s="105"/>
      <c r="G442" s="105"/>
      <c r="H442" s="105"/>
      <c r="I442" s="105"/>
      <c r="J442" s="105"/>
      <c r="K442" s="105"/>
      <c r="L442" s="105"/>
      <c r="M442" s="108"/>
      <c r="N442" s="108"/>
    </row>
    <row r="443" spans="2:14">
      <c r="B443" s="107"/>
      <c r="C443" s="105"/>
      <c r="D443" s="105"/>
      <c r="E443" s="105"/>
      <c r="F443" s="105"/>
      <c r="G443" s="105"/>
      <c r="H443" s="105"/>
      <c r="I443" s="105"/>
      <c r="J443" s="105"/>
      <c r="K443" s="105"/>
      <c r="L443" s="105"/>
      <c r="M443" s="108"/>
      <c r="N443" s="108"/>
    </row>
    <row r="444" spans="2:14">
      <c r="B444" s="107"/>
      <c r="C444" s="105"/>
      <c r="D444" s="105"/>
      <c r="E444" s="105"/>
      <c r="F444" s="105"/>
      <c r="G444" s="105"/>
      <c r="H444" s="105"/>
      <c r="I444" s="105"/>
      <c r="J444" s="105"/>
      <c r="K444" s="105"/>
      <c r="L444" s="105"/>
      <c r="M444" s="108"/>
      <c r="N444" s="108"/>
    </row>
    <row r="445" spans="2:14">
      <c r="B445" s="107"/>
      <c r="C445" s="105"/>
      <c r="D445" s="105"/>
      <c r="E445" s="105"/>
      <c r="F445" s="105"/>
      <c r="G445" s="105"/>
      <c r="H445" s="105"/>
      <c r="I445" s="105"/>
      <c r="J445" s="105"/>
      <c r="K445" s="105"/>
      <c r="L445" s="105"/>
      <c r="M445" s="108"/>
      <c r="N445" s="108"/>
    </row>
    <row r="446" spans="2:14">
      <c r="B446" s="107"/>
      <c r="C446" s="105"/>
      <c r="D446" s="105"/>
      <c r="E446" s="105"/>
      <c r="F446" s="105"/>
      <c r="G446" s="105"/>
      <c r="H446" s="105"/>
      <c r="I446" s="105"/>
      <c r="J446" s="105"/>
      <c r="K446" s="105"/>
      <c r="L446" s="105"/>
      <c r="M446" s="108"/>
      <c r="N446" s="108"/>
    </row>
    <row r="447" spans="2:14">
      <c r="B447" s="107"/>
      <c r="C447" s="105"/>
      <c r="D447" s="105"/>
      <c r="E447" s="105"/>
      <c r="F447" s="105"/>
      <c r="G447" s="105"/>
      <c r="H447" s="105"/>
      <c r="I447" s="105"/>
      <c r="J447" s="105"/>
      <c r="K447" s="105"/>
      <c r="L447" s="105"/>
      <c r="M447" s="108"/>
      <c r="N447" s="108"/>
    </row>
    <row r="448" spans="2:14">
      <c r="B448" s="107"/>
      <c r="C448" s="105"/>
      <c r="D448" s="105"/>
      <c r="E448" s="105"/>
      <c r="F448" s="105"/>
      <c r="G448" s="105"/>
      <c r="H448" s="105"/>
      <c r="I448" s="105"/>
      <c r="J448" s="105"/>
      <c r="K448" s="105"/>
      <c r="L448" s="105"/>
      <c r="M448" s="108"/>
      <c r="N448" s="108"/>
    </row>
    <row r="449" spans="2:14">
      <c r="B449" s="107"/>
      <c r="C449" s="105"/>
      <c r="D449" s="105"/>
      <c r="E449" s="105"/>
      <c r="F449" s="105"/>
      <c r="G449" s="105"/>
      <c r="H449" s="105"/>
      <c r="I449" s="105"/>
      <c r="J449" s="105"/>
      <c r="K449" s="105"/>
      <c r="L449" s="105"/>
      <c r="M449" s="108"/>
      <c r="N449" s="108"/>
    </row>
    <row r="450" spans="2:14">
      <c r="B450" s="107"/>
      <c r="C450" s="105"/>
      <c r="D450" s="105"/>
      <c r="E450" s="105"/>
      <c r="F450" s="105"/>
      <c r="G450" s="105"/>
      <c r="H450" s="105"/>
      <c r="I450" s="105"/>
      <c r="J450" s="105"/>
      <c r="K450" s="105"/>
      <c r="L450" s="105"/>
      <c r="M450" s="108"/>
      <c r="N450" s="108"/>
    </row>
    <row r="451" spans="2:14">
      <c r="B451" s="107"/>
      <c r="C451" s="105"/>
      <c r="D451" s="105"/>
      <c r="E451" s="105"/>
      <c r="F451" s="105"/>
      <c r="G451" s="105"/>
      <c r="H451" s="105"/>
      <c r="I451" s="105"/>
      <c r="J451" s="105"/>
      <c r="K451" s="105"/>
      <c r="L451" s="105"/>
      <c r="M451" s="108"/>
      <c r="N451" s="108"/>
    </row>
    <row r="452" spans="2:14">
      <c r="B452" s="107"/>
      <c r="C452" s="105"/>
      <c r="D452" s="105"/>
      <c r="E452" s="105"/>
      <c r="F452" s="105"/>
      <c r="G452" s="105"/>
      <c r="H452" s="105"/>
      <c r="I452" s="105"/>
      <c r="J452" s="105"/>
      <c r="K452" s="105"/>
      <c r="L452" s="105"/>
      <c r="M452" s="108"/>
      <c r="N452" s="108"/>
    </row>
    <row r="453" spans="2:14">
      <c r="B453" s="107"/>
      <c r="C453" s="105"/>
      <c r="D453" s="105"/>
      <c r="E453" s="105"/>
      <c r="F453" s="105"/>
      <c r="G453" s="105"/>
      <c r="H453" s="105"/>
      <c r="I453" s="105"/>
      <c r="J453" s="105"/>
      <c r="K453" s="105"/>
      <c r="L453" s="105"/>
      <c r="M453" s="108"/>
      <c r="N453" s="108"/>
    </row>
    <row r="454" spans="2:14">
      <c r="B454" s="107"/>
      <c r="C454" s="105"/>
      <c r="D454" s="105"/>
      <c r="E454" s="105"/>
      <c r="F454" s="105"/>
      <c r="G454" s="105"/>
      <c r="H454" s="105"/>
      <c r="I454" s="105"/>
      <c r="J454" s="105"/>
      <c r="K454" s="105"/>
      <c r="L454" s="105"/>
      <c r="M454" s="108"/>
      <c r="N454" s="108"/>
    </row>
    <row r="455" spans="2:14">
      <c r="B455" s="107"/>
      <c r="C455" s="105"/>
      <c r="D455" s="105"/>
      <c r="E455" s="105"/>
      <c r="F455" s="105"/>
      <c r="G455" s="105"/>
      <c r="H455" s="105"/>
      <c r="I455" s="105"/>
      <c r="J455" s="105"/>
      <c r="K455" s="105"/>
      <c r="L455" s="105"/>
      <c r="M455" s="108"/>
      <c r="N455" s="108"/>
    </row>
    <row r="456" spans="2:14">
      <c r="B456" s="107"/>
      <c r="C456" s="105"/>
      <c r="D456" s="105"/>
      <c r="E456" s="105"/>
      <c r="F456" s="105"/>
      <c r="G456" s="105"/>
      <c r="H456" s="105"/>
      <c r="I456" s="105"/>
      <c r="J456" s="105"/>
      <c r="K456" s="105"/>
      <c r="L456" s="105"/>
      <c r="M456" s="108"/>
      <c r="N456" s="108"/>
    </row>
    <row r="457" spans="2:14">
      <c r="B457" s="107"/>
      <c r="C457" s="105"/>
      <c r="D457" s="105"/>
      <c r="E457" s="105"/>
      <c r="F457" s="105"/>
      <c r="G457" s="105"/>
      <c r="H457" s="105"/>
      <c r="I457" s="105"/>
      <c r="J457" s="105"/>
      <c r="K457" s="105"/>
      <c r="L457" s="105"/>
      <c r="M457" s="108"/>
      <c r="N457" s="108"/>
    </row>
    <row r="458" spans="2:14">
      <c r="B458" s="107"/>
      <c r="C458" s="105"/>
      <c r="D458" s="105"/>
      <c r="E458" s="105"/>
      <c r="F458" s="105"/>
      <c r="G458" s="105"/>
      <c r="H458" s="105"/>
      <c r="I458" s="105"/>
      <c r="J458" s="105"/>
      <c r="K458" s="105"/>
      <c r="L458" s="105"/>
      <c r="M458" s="108"/>
      <c r="N458" s="108"/>
    </row>
    <row r="459" spans="2:14">
      <c r="B459" s="107"/>
      <c r="C459" s="105"/>
      <c r="D459" s="105"/>
      <c r="E459" s="105"/>
      <c r="F459" s="105"/>
      <c r="G459" s="105"/>
      <c r="H459" s="105"/>
      <c r="I459" s="105"/>
      <c r="J459" s="105"/>
      <c r="K459" s="105"/>
      <c r="L459" s="105"/>
      <c r="M459" s="108"/>
      <c r="N459" s="108"/>
    </row>
    <row r="460" spans="2:14">
      <c r="B460" s="107"/>
      <c r="C460" s="105"/>
      <c r="D460" s="105"/>
      <c r="E460" s="105"/>
      <c r="F460" s="105"/>
      <c r="G460" s="105"/>
      <c r="H460" s="105"/>
      <c r="I460" s="105"/>
      <c r="J460" s="105"/>
      <c r="K460" s="105"/>
      <c r="L460" s="105"/>
      <c r="M460" s="108"/>
      <c r="N460" s="108"/>
    </row>
    <row r="461" spans="2:14">
      <c r="B461" s="107"/>
      <c r="C461" s="105"/>
      <c r="D461" s="105"/>
      <c r="E461" s="105"/>
      <c r="F461" s="105"/>
      <c r="G461" s="105"/>
      <c r="H461" s="105"/>
      <c r="I461" s="105"/>
      <c r="J461" s="105"/>
      <c r="K461" s="105"/>
      <c r="L461" s="105"/>
      <c r="M461" s="108"/>
      <c r="N461" s="108"/>
    </row>
    <row r="462" spans="2:14">
      <c r="B462" s="107"/>
      <c r="C462" s="105"/>
      <c r="D462" s="105"/>
      <c r="E462" s="105"/>
      <c r="F462" s="105"/>
      <c r="G462" s="105"/>
      <c r="H462" s="105"/>
      <c r="I462" s="105"/>
      <c r="J462" s="105"/>
      <c r="K462" s="105"/>
      <c r="L462" s="105"/>
      <c r="M462" s="108"/>
      <c r="N462" s="108"/>
    </row>
    <row r="463" spans="2:14">
      <c r="B463" s="107"/>
      <c r="C463" s="105"/>
      <c r="D463" s="105"/>
      <c r="E463" s="105"/>
      <c r="F463" s="105"/>
      <c r="G463" s="105"/>
      <c r="H463" s="105"/>
      <c r="I463" s="105"/>
      <c r="J463" s="105"/>
      <c r="K463" s="105"/>
      <c r="L463" s="105"/>
      <c r="M463" s="108"/>
      <c r="N463" s="108"/>
    </row>
    <row r="464" spans="2:14">
      <c r="B464" s="107"/>
      <c r="C464" s="105"/>
      <c r="D464" s="105"/>
      <c r="E464" s="105"/>
      <c r="F464" s="105"/>
      <c r="G464" s="105"/>
      <c r="H464" s="105"/>
      <c r="I464" s="105"/>
      <c r="J464" s="105"/>
      <c r="K464" s="105"/>
      <c r="L464" s="105"/>
      <c r="M464" s="108"/>
      <c r="N464" s="108"/>
    </row>
    <row r="465" spans="2:14">
      <c r="B465" s="107"/>
      <c r="C465" s="105"/>
      <c r="D465" s="105"/>
      <c r="E465" s="105"/>
      <c r="F465" s="105"/>
      <c r="G465" s="105"/>
      <c r="H465" s="105"/>
      <c r="I465" s="105"/>
      <c r="J465" s="105"/>
      <c r="K465" s="105"/>
      <c r="L465" s="105"/>
      <c r="M465" s="108"/>
      <c r="N465" s="108"/>
    </row>
    <row r="466" spans="2:14">
      <c r="B466" s="107"/>
      <c r="C466" s="105"/>
      <c r="D466" s="105"/>
      <c r="E466" s="105"/>
      <c r="F466" s="105"/>
      <c r="G466" s="105"/>
      <c r="H466" s="105"/>
      <c r="I466" s="105"/>
      <c r="J466" s="105"/>
      <c r="K466" s="105"/>
      <c r="L466" s="105"/>
      <c r="M466" s="108"/>
      <c r="N466" s="108"/>
    </row>
    <row r="467" spans="2:14">
      <c r="B467" s="107"/>
      <c r="C467" s="105"/>
      <c r="D467" s="105"/>
      <c r="E467" s="105"/>
      <c r="F467" s="105"/>
      <c r="G467" s="105"/>
      <c r="H467" s="105"/>
      <c r="I467" s="105"/>
      <c r="J467" s="105"/>
      <c r="K467" s="105"/>
      <c r="L467" s="105"/>
      <c r="M467" s="108"/>
      <c r="N467" s="108"/>
    </row>
    <row r="468" spans="2:14">
      <c r="B468" s="107"/>
      <c r="C468" s="105"/>
      <c r="D468" s="105"/>
      <c r="E468" s="105"/>
      <c r="F468" s="105"/>
      <c r="G468" s="105"/>
      <c r="H468" s="105"/>
      <c r="I468" s="105"/>
      <c r="J468" s="105"/>
      <c r="K468" s="105"/>
      <c r="L468" s="105"/>
      <c r="M468" s="108"/>
      <c r="N468" s="108"/>
    </row>
    <row r="469" spans="2:14">
      <c r="B469" s="107"/>
      <c r="C469" s="105"/>
      <c r="D469" s="105"/>
      <c r="E469" s="105"/>
      <c r="F469" s="105"/>
      <c r="G469" s="105"/>
      <c r="H469" s="105"/>
      <c r="I469" s="105"/>
      <c r="J469" s="105"/>
      <c r="K469" s="105"/>
      <c r="L469" s="105"/>
      <c r="M469" s="108"/>
      <c r="N469" s="108"/>
    </row>
    <row r="470" spans="2:14">
      <c r="B470" s="107"/>
      <c r="C470" s="105"/>
      <c r="D470" s="105"/>
      <c r="E470" s="105"/>
      <c r="F470" s="105"/>
      <c r="G470" s="105"/>
      <c r="H470" s="105"/>
      <c r="I470" s="105"/>
      <c r="J470" s="105"/>
      <c r="K470" s="105"/>
      <c r="L470" s="105"/>
      <c r="M470" s="108"/>
      <c r="N470" s="108"/>
    </row>
    <row r="471" spans="2:14">
      <c r="B471" s="107"/>
      <c r="C471" s="105"/>
      <c r="D471" s="105"/>
      <c r="E471" s="105"/>
      <c r="F471" s="105"/>
      <c r="G471" s="105"/>
      <c r="H471" s="105"/>
      <c r="I471" s="105"/>
      <c r="J471" s="105"/>
      <c r="K471" s="105"/>
      <c r="L471" s="105"/>
      <c r="M471" s="108"/>
      <c r="N471" s="108"/>
    </row>
    <row r="472" spans="2:14">
      <c r="B472" s="107"/>
      <c r="C472" s="105"/>
      <c r="D472" s="105"/>
      <c r="E472" s="105"/>
      <c r="F472" s="105"/>
      <c r="G472" s="105"/>
      <c r="H472" s="105"/>
      <c r="I472" s="105"/>
      <c r="J472" s="105"/>
      <c r="K472" s="105"/>
      <c r="L472" s="105"/>
      <c r="M472" s="108"/>
      <c r="N472" s="108"/>
    </row>
    <row r="473" spans="2:14">
      <c r="B473" s="107"/>
      <c r="C473" s="105"/>
      <c r="D473" s="105"/>
      <c r="E473" s="105"/>
      <c r="F473" s="105"/>
      <c r="G473" s="105"/>
      <c r="H473" s="105"/>
      <c r="I473" s="105"/>
      <c r="J473" s="105"/>
      <c r="K473" s="105"/>
      <c r="L473" s="105"/>
      <c r="M473" s="108"/>
      <c r="N473" s="108"/>
    </row>
    <row r="474" spans="2:14">
      <c r="B474" s="107"/>
      <c r="C474" s="105"/>
      <c r="D474" s="105"/>
      <c r="E474" s="105"/>
      <c r="F474" s="105"/>
      <c r="G474" s="105"/>
      <c r="H474" s="105"/>
      <c r="I474" s="105"/>
      <c r="J474" s="105"/>
      <c r="K474" s="105"/>
      <c r="L474" s="105"/>
      <c r="M474" s="108"/>
      <c r="N474" s="108"/>
    </row>
    <row r="475" spans="2:14">
      <c r="B475" s="107"/>
      <c r="C475" s="105"/>
      <c r="D475" s="105"/>
      <c r="E475" s="105"/>
      <c r="F475" s="105"/>
      <c r="G475" s="105"/>
      <c r="H475" s="105"/>
      <c r="I475" s="105"/>
      <c r="J475" s="105"/>
      <c r="K475" s="105"/>
      <c r="L475" s="105"/>
      <c r="M475" s="108"/>
      <c r="N475" s="108"/>
    </row>
    <row r="476" spans="2:14">
      <c r="B476" s="107"/>
      <c r="C476" s="105"/>
      <c r="D476" s="105"/>
      <c r="E476" s="105"/>
      <c r="F476" s="105"/>
      <c r="G476" s="105"/>
      <c r="H476" s="105"/>
      <c r="I476" s="105"/>
      <c r="J476" s="105"/>
      <c r="K476" s="105"/>
      <c r="L476" s="105"/>
      <c r="M476" s="108"/>
      <c r="N476" s="108"/>
    </row>
    <row r="477" spans="2:14">
      <c r="B477" s="107"/>
      <c r="C477" s="105"/>
      <c r="D477" s="105"/>
      <c r="E477" s="105"/>
      <c r="F477" s="105"/>
      <c r="G477" s="105"/>
      <c r="H477" s="105"/>
      <c r="I477" s="105"/>
      <c r="J477" s="105"/>
      <c r="K477" s="105"/>
      <c r="L477" s="105"/>
      <c r="M477" s="108"/>
      <c r="N477" s="108"/>
    </row>
    <row r="478" spans="2:14">
      <c r="B478" s="107"/>
      <c r="C478" s="105"/>
      <c r="D478" s="105"/>
      <c r="E478" s="105"/>
      <c r="F478" s="105"/>
      <c r="G478" s="105"/>
      <c r="H478" s="105"/>
      <c r="I478" s="105"/>
      <c r="J478" s="105"/>
      <c r="K478" s="105"/>
      <c r="L478" s="105"/>
      <c r="M478" s="108"/>
      <c r="N478" s="108"/>
    </row>
    <row r="479" spans="2:14">
      <c r="B479" s="107"/>
      <c r="C479" s="105"/>
      <c r="D479" s="105"/>
      <c r="E479" s="105"/>
      <c r="F479" s="105"/>
      <c r="G479" s="105"/>
      <c r="H479" s="105"/>
      <c r="I479" s="105"/>
      <c r="J479" s="105"/>
      <c r="K479" s="105"/>
      <c r="L479" s="105"/>
      <c r="M479" s="108"/>
      <c r="N479" s="108"/>
    </row>
    <row r="480" spans="2:14">
      <c r="B480" s="107"/>
      <c r="C480" s="105"/>
      <c r="D480" s="105"/>
      <c r="E480" s="105"/>
      <c r="F480" s="105"/>
      <c r="G480" s="105"/>
      <c r="H480" s="105"/>
      <c r="I480" s="105"/>
      <c r="J480" s="105"/>
      <c r="K480" s="105"/>
      <c r="L480" s="105"/>
      <c r="M480" s="108"/>
      <c r="N480" s="108"/>
    </row>
    <row r="481" spans="2:14">
      <c r="B481" s="107"/>
      <c r="C481" s="105"/>
      <c r="D481" s="105"/>
      <c r="E481" s="105"/>
      <c r="F481" s="105"/>
      <c r="G481" s="105"/>
      <c r="H481" s="105"/>
      <c r="I481" s="105"/>
      <c r="J481" s="105"/>
      <c r="K481" s="105"/>
      <c r="L481" s="105"/>
      <c r="M481" s="108"/>
      <c r="N481" s="108"/>
    </row>
    <row r="482" spans="2:14">
      <c r="B482" s="107"/>
      <c r="C482" s="105"/>
      <c r="D482" s="105"/>
      <c r="E482" s="105"/>
      <c r="F482" s="105"/>
      <c r="G482" s="105"/>
      <c r="H482" s="105"/>
      <c r="I482" s="105"/>
      <c r="J482" s="105"/>
      <c r="K482" s="105"/>
      <c r="L482" s="105"/>
      <c r="M482" s="108"/>
      <c r="N482" s="108"/>
    </row>
    <row r="483" spans="2:14">
      <c r="B483" s="107"/>
      <c r="C483" s="105"/>
      <c r="D483" s="105"/>
      <c r="E483" s="105"/>
      <c r="F483" s="105"/>
      <c r="G483" s="105"/>
      <c r="H483" s="105"/>
      <c r="I483" s="105"/>
      <c r="J483" s="105"/>
      <c r="K483" s="105"/>
      <c r="L483" s="105"/>
      <c r="M483" s="108"/>
      <c r="N483" s="108"/>
    </row>
    <row r="484" spans="2:14">
      <c r="B484" s="107"/>
      <c r="C484" s="105"/>
      <c r="D484" s="105"/>
      <c r="E484" s="105"/>
      <c r="F484" s="105"/>
      <c r="G484" s="105"/>
      <c r="H484" s="105"/>
      <c r="I484" s="105"/>
      <c r="J484" s="105"/>
      <c r="K484" s="105"/>
      <c r="L484" s="105"/>
      <c r="M484" s="108"/>
      <c r="N484" s="108"/>
    </row>
    <row r="485" spans="2:14">
      <c r="B485" s="107"/>
      <c r="C485" s="105"/>
      <c r="D485" s="105"/>
      <c r="E485" s="105"/>
      <c r="F485" s="105"/>
      <c r="G485" s="105"/>
      <c r="H485" s="105"/>
      <c r="I485" s="105"/>
      <c r="J485" s="105"/>
      <c r="K485" s="105"/>
      <c r="L485" s="105"/>
      <c r="M485" s="108"/>
      <c r="N485" s="108"/>
    </row>
    <row r="486" spans="2:14">
      <c r="B486" s="107"/>
      <c r="C486" s="105"/>
      <c r="D486" s="105"/>
      <c r="E486" s="105"/>
      <c r="F486" s="105"/>
      <c r="G486" s="105"/>
      <c r="H486" s="105"/>
      <c r="I486" s="105"/>
      <c r="J486" s="105"/>
      <c r="K486" s="105"/>
      <c r="L486" s="105"/>
      <c r="M486" s="108"/>
      <c r="N486" s="108"/>
    </row>
    <row r="487" spans="2:14">
      <c r="B487" s="107"/>
      <c r="C487" s="105"/>
      <c r="D487" s="105"/>
      <c r="E487" s="105"/>
      <c r="F487" s="105"/>
      <c r="G487" s="105"/>
      <c r="H487" s="105"/>
      <c r="I487" s="105"/>
      <c r="J487" s="105"/>
      <c r="K487" s="105"/>
      <c r="L487" s="105"/>
      <c r="M487" s="108"/>
      <c r="N487" s="108"/>
    </row>
    <row r="488" spans="2:14">
      <c r="B488" s="107"/>
      <c r="C488" s="105"/>
      <c r="D488" s="105"/>
      <c r="E488" s="105"/>
      <c r="F488" s="105"/>
      <c r="G488" s="105"/>
      <c r="H488" s="105"/>
      <c r="I488" s="105"/>
      <c r="J488" s="105"/>
      <c r="K488" s="105"/>
      <c r="L488" s="105"/>
      <c r="M488" s="108"/>
      <c r="N488" s="108"/>
    </row>
    <row r="489" spans="2:14">
      <c r="B489" s="107"/>
      <c r="C489" s="105"/>
      <c r="D489" s="105"/>
      <c r="E489" s="105"/>
      <c r="F489" s="105"/>
      <c r="G489" s="105"/>
      <c r="H489" s="105"/>
      <c r="I489" s="105"/>
      <c r="J489" s="105"/>
      <c r="K489" s="105"/>
      <c r="L489" s="105"/>
      <c r="M489" s="108"/>
      <c r="N489" s="108"/>
    </row>
    <row r="490" spans="2:14">
      <c r="B490" s="107"/>
      <c r="C490" s="105"/>
      <c r="D490" s="105"/>
      <c r="E490" s="105"/>
      <c r="F490" s="105"/>
      <c r="G490" s="105"/>
      <c r="H490" s="105"/>
      <c r="I490" s="105"/>
      <c r="J490" s="105"/>
      <c r="K490" s="105"/>
      <c r="L490" s="105"/>
      <c r="M490" s="108"/>
      <c r="N490" s="108"/>
    </row>
    <row r="491" spans="2:14">
      <c r="B491" s="107"/>
      <c r="C491" s="105"/>
      <c r="D491" s="105"/>
      <c r="E491" s="105"/>
      <c r="F491" s="105"/>
      <c r="G491" s="105"/>
      <c r="H491" s="105"/>
      <c r="I491" s="105"/>
      <c r="J491" s="105"/>
      <c r="K491" s="105"/>
      <c r="L491" s="105"/>
      <c r="M491" s="108"/>
      <c r="N491" s="108"/>
    </row>
    <row r="492" spans="2:14">
      <c r="B492" s="107"/>
      <c r="C492" s="105"/>
      <c r="D492" s="105"/>
      <c r="E492" s="105"/>
      <c r="F492" s="105"/>
      <c r="G492" s="105"/>
      <c r="H492" s="105"/>
      <c r="I492" s="105"/>
      <c r="J492" s="105"/>
      <c r="K492" s="105"/>
      <c r="L492" s="105"/>
      <c r="M492" s="108"/>
      <c r="N492" s="108"/>
    </row>
    <row r="493" spans="2:14">
      <c r="B493" s="107"/>
      <c r="C493" s="105"/>
      <c r="D493" s="105"/>
      <c r="E493" s="105"/>
      <c r="F493" s="105"/>
      <c r="G493" s="105"/>
      <c r="H493" s="105"/>
      <c r="I493" s="105"/>
      <c r="J493" s="105"/>
      <c r="K493" s="105"/>
      <c r="L493" s="105"/>
      <c r="M493" s="108"/>
      <c r="N493" s="108"/>
    </row>
    <row r="494" spans="2:14">
      <c r="B494" s="107"/>
      <c r="C494" s="105"/>
      <c r="D494" s="105"/>
      <c r="E494" s="105"/>
      <c r="F494" s="105"/>
      <c r="G494" s="105"/>
      <c r="H494" s="105"/>
      <c r="I494" s="105"/>
      <c r="J494" s="105"/>
      <c r="K494" s="105"/>
      <c r="L494" s="105"/>
      <c r="M494" s="108"/>
      <c r="N494" s="108"/>
    </row>
    <row r="495" spans="2:14">
      <c r="B495" s="107"/>
      <c r="C495" s="105"/>
      <c r="D495" s="105"/>
      <c r="E495" s="105"/>
      <c r="F495" s="105"/>
      <c r="G495" s="105"/>
      <c r="H495" s="105"/>
      <c r="I495" s="105"/>
      <c r="J495" s="105"/>
      <c r="K495" s="105"/>
      <c r="L495" s="105"/>
      <c r="M495" s="108"/>
      <c r="N495" s="108"/>
    </row>
    <row r="496" spans="2:14">
      <c r="B496" s="107"/>
      <c r="C496" s="105"/>
      <c r="D496" s="105"/>
      <c r="E496" s="105"/>
      <c r="F496" s="105"/>
      <c r="G496" s="105"/>
      <c r="H496" s="105"/>
      <c r="I496" s="105"/>
      <c r="J496" s="105"/>
      <c r="K496" s="105"/>
      <c r="L496" s="105"/>
      <c r="M496" s="108"/>
      <c r="N496" s="108"/>
    </row>
    <row r="497" spans="2:14">
      <c r="B497" s="107"/>
      <c r="C497" s="105"/>
      <c r="D497" s="105"/>
      <c r="E497" s="105"/>
      <c r="F497" s="105"/>
      <c r="G497" s="105"/>
      <c r="H497" s="105"/>
      <c r="I497" s="105"/>
      <c r="J497" s="105"/>
      <c r="K497" s="105"/>
      <c r="L497" s="105"/>
      <c r="M497" s="108"/>
      <c r="N497" s="108"/>
    </row>
    <row r="498" spans="2:14">
      <c r="B498" s="107"/>
      <c r="C498" s="105"/>
      <c r="D498" s="105"/>
      <c r="E498" s="105"/>
      <c r="F498" s="105"/>
      <c r="G498" s="105"/>
      <c r="H498" s="105"/>
      <c r="I498" s="105"/>
      <c r="J498" s="105"/>
      <c r="K498" s="105"/>
      <c r="L498" s="105"/>
      <c r="M498" s="108"/>
      <c r="N498" s="108"/>
    </row>
    <row r="499" spans="2:14">
      <c r="B499" s="107"/>
      <c r="C499" s="105"/>
      <c r="D499" s="105"/>
      <c r="E499" s="105"/>
      <c r="F499" s="105"/>
      <c r="G499" s="105"/>
      <c r="H499" s="105"/>
      <c r="I499" s="105"/>
      <c r="J499" s="105"/>
      <c r="K499" s="105"/>
      <c r="L499" s="105"/>
      <c r="M499" s="108"/>
      <c r="N499" s="108"/>
    </row>
    <row r="500" spans="2:14">
      <c r="B500" s="107"/>
      <c r="C500" s="105"/>
      <c r="D500" s="105"/>
      <c r="E500" s="105"/>
      <c r="F500" s="105"/>
      <c r="G500" s="105"/>
      <c r="H500" s="105"/>
      <c r="I500" s="105"/>
      <c r="J500" s="105"/>
      <c r="K500" s="105"/>
      <c r="L500" s="105"/>
      <c r="M500" s="108"/>
      <c r="N500" s="108"/>
    </row>
    <row r="501" spans="2:14">
      <c r="B501" s="107"/>
      <c r="C501" s="105"/>
      <c r="D501" s="105"/>
      <c r="E501" s="105"/>
      <c r="F501" s="105"/>
      <c r="G501" s="105"/>
      <c r="H501" s="105"/>
      <c r="I501" s="105"/>
      <c r="J501" s="105"/>
      <c r="K501" s="105"/>
      <c r="L501" s="105"/>
      <c r="M501" s="108"/>
      <c r="N501" s="108"/>
    </row>
    <row r="502" spans="2:14">
      <c r="B502" s="107"/>
      <c r="C502" s="105"/>
      <c r="D502" s="105"/>
      <c r="E502" s="105"/>
      <c r="F502" s="105"/>
      <c r="G502" s="105"/>
      <c r="H502" s="105"/>
      <c r="I502" s="105"/>
      <c r="J502" s="105"/>
      <c r="K502" s="105"/>
      <c r="L502" s="105"/>
      <c r="M502" s="108"/>
      <c r="N502" s="108"/>
    </row>
    <row r="503" spans="2:14">
      <c r="B503" s="107"/>
      <c r="C503" s="105"/>
      <c r="D503" s="105"/>
      <c r="E503" s="105"/>
      <c r="F503" s="105"/>
      <c r="G503" s="105"/>
      <c r="H503" s="105"/>
      <c r="I503" s="105"/>
      <c r="J503" s="105"/>
      <c r="K503" s="105"/>
      <c r="L503" s="105"/>
      <c r="M503" s="108"/>
      <c r="N503" s="108"/>
    </row>
    <row r="504" spans="2:14">
      <c r="B504" s="107"/>
      <c r="C504" s="105"/>
      <c r="D504" s="105"/>
      <c r="E504" s="105"/>
      <c r="F504" s="105"/>
      <c r="G504" s="105"/>
      <c r="H504" s="105"/>
      <c r="I504" s="105"/>
      <c r="J504" s="105"/>
      <c r="K504" s="105"/>
      <c r="L504" s="105"/>
      <c r="M504" s="108"/>
      <c r="N504" s="108"/>
    </row>
    <row r="505" spans="2:14">
      <c r="B505" s="107"/>
      <c r="C505" s="105"/>
      <c r="D505" s="105"/>
      <c r="E505" s="105"/>
      <c r="F505" s="105"/>
      <c r="G505" s="105"/>
      <c r="H505" s="105"/>
      <c r="I505" s="105"/>
      <c r="J505" s="105"/>
      <c r="K505" s="105"/>
      <c r="L505" s="105"/>
      <c r="M505" s="108"/>
      <c r="N505" s="108"/>
    </row>
    <row r="506" spans="2:14">
      <c r="B506" s="107"/>
      <c r="C506" s="105"/>
      <c r="D506" s="105"/>
      <c r="E506" s="105"/>
      <c r="F506" s="105"/>
      <c r="G506" s="105"/>
      <c r="H506" s="105"/>
      <c r="I506" s="105"/>
      <c r="J506" s="105"/>
      <c r="K506" s="105"/>
      <c r="L506" s="105"/>
      <c r="M506" s="108"/>
      <c r="N506" s="108"/>
    </row>
    <row r="507" spans="2:14">
      <c r="B507" s="107"/>
      <c r="C507" s="105"/>
      <c r="D507" s="105"/>
      <c r="E507" s="105"/>
      <c r="F507" s="105"/>
      <c r="G507" s="105"/>
      <c r="H507" s="105"/>
      <c r="I507" s="105"/>
      <c r="J507" s="105"/>
      <c r="K507" s="105"/>
      <c r="L507" s="105"/>
      <c r="M507" s="108"/>
      <c r="N507" s="108"/>
    </row>
    <row r="508" spans="2:14">
      <c r="B508" s="107"/>
      <c r="C508" s="105"/>
      <c r="D508" s="105"/>
      <c r="E508" s="105"/>
      <c r="F508" s="105"/>
      <c r="G508" s="105"/>
      <c r="H508" s="105"/>
      <c r="I508" s="105"/>
      <c r="J508" s="105"/>
      <c r="K508" s="105"/>
      <c r="L508" s="105"/>
      <c r="M508" s="108"/>
      <c r="N508" s="108"/>
    </row>
    <row r="509" spans="2:14">
      <c r="B509" s="107"/>
      <c r="C509" s="105"/>
      <c r="D509" s="105"/>
      <c r="E509" s="105"/>
      <c r="F509" s="105"/>
      <c r="G509" s="105"/>
      <c r="H509" s="105"/>
      <c r="I509" s="105"/>
      <c r="J509" s="105"/>
      <c r="K509" s="105"/>
      <c r="L509" s="105"/>
      <c r="M509" s="108"/>
      <c r="N509" s="108"/>
    </row>
    <row r="510" spans="2:14">
      <c r="B510" s="107"/>
      <c r="C510" s="105"/>
      <c r="D510" s="105"/>
      <c r="E510" s="105"/>
      <c r="F510" s="105"/>
      <c r="G510" s="105"/>
      <c r="H510" s="105"/>
      <c r="I510" s="105"/>
      <c r="J510" s="105"/>
      <c r="K510" s="105"/>
      <c r="L510" s="105"/>
      <c r="M510" s="108"/>
      <c r="N510" s="108"/>
    </row>
    <row r="511" spans="2:14">
      <c r="B511" s="107"/>
      <c r="C511" s="105"/>
      <c r="D511" s="105"/>
      <c r="E511" s="105"/>
      <c r="F511" s="105"/>
      <c r="G511" s="105"/>
      <c r="H511" s="105"/>
      <c r="I511" s="105"/>
      <c r="J511" s="105"/>
      <c r="K511" s="105"/>
      <c r="L511" s="105"/>
      <c r="M511" s="108"/>
      <c r="N511" s="108"/>
    </row>
    <row r="512" spans="2:14">
      <c r="B512" s="107"/>
      <c r="C512" s="105"/>
      <c r="D512" s="105"/>
      <c r="E512" s="105"/>
      <c r="F512" s="105"/>
      <c r="G512" s="105"/>
      <c r="H512" s="105"/>
      <c r="I512" s="105"/>
      <c r="J512" s="105"/>
      <c r="K512" s="105"/>
      <c r="L512" s="105"/>
      <c r="M512" s="108"/>
      <c r="N512" s="108"/>
    </row>
    <row r="513" spans="2:14">
      <c r="B513" s="107"/>
      <c r="C513" s="105"/>
      <c r="D513" s="105"/>
      <c r="E513" s="105"/>
      <c r="F513" s="105"/>
      <c r="G513" s="105"/>
      <c r="H513" s="105"/>
      <c r="I513" s="105"/>
      <c r="J513" s="105"/>
      <c r="K513" s="105"/>
      <c r="L513" s="105"/>
      <c r="M513" s="108"/>
      <c r="N513" s="108"/>
    </row>
    <row r="514" spans="2:14">
      <c r="B514" s="107"/>
      <c r="C514" s="105"/>
      <c r="D514" s="105"/>
      <c r="E514" s="105"/>
      <c r="F514" s="105"/>
      <c r="G514" s="105"/>
      <c r="H514" s="105"/>
      <c r="I514" s="105"/>
      <c r="J514" s="105"/>
      <c r="K514" s="105"/>
      <c r="L514" s="105"/>
      <c r="M514" s="108"/>
      <c r="N514" s="108"/>
    </row>
    <row r="515" spans="2:14">
      <c r="B515" s="107"/>
      <c r="C515" s="105"/>
      <c r="D515" s="105"/>
      <c r="E515" s="105"/>
      <c r="F515" s="105"/>
      <c r="G515" s="105"/>
      <c r="H515" s="105"/>
      <c r="I515" s="105"/>
      <c r="J515" s="105"/>
      <c r="K515" s="105"/>
      <c r="L515" s="105"/>
      <c r="M515" s="108"/>
      <c r="N515" s="108"/>
    </row>
    <row r="516" spans="2:14">
      <c r="B516" s="107"/>
      <c r="C516" s="105"/>
      <c r="D516" s="105"/>
      <c r="E516" s="105"/>
      <c r="F516" s="105"/>
      <c r="G516" s="105"/>
      <c r="H516" s="105"/>
      <c r="I516" s="105"/>
      <c r="J516" s="105"/>
      <c r="K516" s="105"/>
      <c r="L516" s="105"/>
      <c r="M516" s="108"/>
      <c r="N516" s="108"/>
    </row>
    <row r="517" spans="2:14">
      <c r="B517" s="107"/>
      <c r="C517" s="105"/>
      <c r="D517" s="105"/>
      <c r="E517" s="105"/>
      <c r="F517" s="105"/>
      <c r="G517" s="105"/>
      <c r="H517" s="105"/>
      <c r="I517" s="105"/>
      <c r="J517" s="105"/>
      <c r="K517" s="105"/>
      <c r="L517" s="105"/>
      <c r="M517" s="108"/>
      <c r="N517" s="108"/>
    </row>
    <row r="518" spans="2:14">
      <c r="B518" s="107"/>
      <c r="C518" s="105"/>
      <c r="D518" s="105"/>
      <c r="E518" s="105"/>
      <c r="F518" s="105"/>
      <c r="G518" s="105"/>
      <c r="H518" s="105"/>
      <c r="I518" s="105"/>
      <c r="J518" s="105"/>
      <c r="K518" s="105"/>
      <c r="L518" s="105"/>
    </row>
    <row r="519" spans="2:14">
      <c r="B519" s="107"/>
      <c r="C519" s="105"/>
      <c r="D519" s="105"/>
      <c r="E519" s="105"/>
      <c r="F519" s="105"/>
      <c r="G519" s="105"/>
      <c r="H519" s="105"/>
      <c r="I519" s="105"/>
      <c r="J519" s="105"/>
      <c r="K519" s="105"/>
      <c r="L519" s="105"/>
    </row>
    <row r="520" spans="2:14">
      <c r="B520" s="107"/>
      <c r="C520" s="105"/>
      <c r="D520" s="105"/>
      <c r="E520" s="105"/>
      <c r="F520" s="105"/>
      <c r="G520" s="105"/>
      <c r="H520" s="105"/>
      <c r="I520" s="105"/>
      <c r="J520" s="105"/>
      <c r="K520" s="105"/>
      <c r="L520" s="105"/>
    </row>
    <row r="521" spans="2:14">
      <c r="B521" s="107"/>
      <c r="C521" s="105"/>
      <c r="D521" s="105"/>
      <c r="E521" s="105"/>
      <c r="F521" s="105"/>
      <c r="G521" s="105"/>
      <c r="H521" s="105"/>
      <c r="I521" s="105"/>
      <c r="J521" s="105"/>
      <c r="K521" s="105"/>
      <c r="L521" s="105"/>
    </row>
    <row r="522" spans="2:14">
      <c r="B522" s="107"/>
      <c r="C522" s="105"/>
      <c r="D522" s="105"/>
      <c r="E522" s="105"/>
      <c r="F522" s="105"/>
      <c r="G522" s="105"/>
      <c r="H522" s="105"/>
      <c r="I522" s="105"/>
      <c r="J522" s="105"/>
      <c r="K522" s="105"/>
      <c r="L522" s="105"/>
    </row>
    <row r="523" spans="2:14">
      <c r="B523" s="107"/>
      <c r="C523" s="105"/>
      <c r="D523" s="105"/>
      <c r="E523" s="105"/>
      <c r="F523" s="105"/>
      <c r="G523" s="105"/>
      <c r="H523" s="105"/>
      <c r="I523" s="105"/>
      <c r="J523" s="105"/>
      <c r="K523" s="105"/>
      <c r="L523" s="105"/>
    </row>
    <row r="524" spans="2:14">
      <c r="B524" s="107"/>
      <c r="C524" s="105"/>
      <c r="D524" s="105"/>
      <c r="E524" s="105"/>
      <c r="F524" s="105"/>
      <c r="G524" s="105"/>
      <c r="H524" s="105"/>
      <c r="I524" s="105"/>
      <c r="J524" s="105"/>
      <c r="K524" s="105"/>
      <c r="L524" s="105"/>
    </row>
    <row r="525" spans="2:14">
      <c r="B525" s="107"/>
      <c r="C525" s="105"/>
      <c r="D525" s="105"/>
      <c r="E525" s="105"/>
      <c r="F525" s="105"/>
      <c r="G525" s="105"/>
      <c r="H525" s="105"/>
      <c r="I525" s="105"/>
      <c r="J525" s="105"/>
      <c r="K525" s="105"/>
      <c r="L525" s="105"/>
    </row>
    <row r="526" spans="2:14">
      <c r="B526" s="107"/>
      <c r="C526" s="105"/>
      <c r="D526" s="105"/>
      <c r="E526" s="105"/>
      <c r="F526" s="105"/>
      <c r="G526" s="105"/>
      <c r="H526" s="105"/>
      <c r="I526" s="105"/>
      <c r="J526" s="105"/>
      <c r="K526" s="105"/>
      <c r="L526" s="105"/>
    </row>
    <row r="527" spans="2:14">
      <c r="B527" s="107"/>
      <c r="C527" s="105"/>
      <c r="D527" s="105"/>
      <c r="E527" s="105"/>
      <c r="F527" s="105"/>
      <c r="G527" s="105"/>
      <c r="H527" s="105"/>
      <c r="I527" s="105"/>
      <c r="J527" s="105"/>
      <c r="K527" s="105"/>
      <c r="L527" s="105"/>
    </row>
    <row r="528" spans="2:14">
      <c r="B528" s="107"/>
      <c r="C528" s="105"/>
      <c r="D528" s="105"/>
      <c r="E528" s="105"/>
      <c r="F528" s="105"/>
      <c r="G528" s="105"/>
      <c r="H528" s="105"/>
      <c r="I528" s="105"/>
      <c r="J528" s="105"/>
      <c r="K528" s="105"/>
      <c r="L528" s="105"/>
    </row>
    <row r="529" spans="2:2" s="105" customFormat="1">
      <c r="B529" s="107"/>
    </row>
    <row r="530" spans="2:2" s="105" customFormat="1">
      <c r="B530" s="107"/>
    </row>
    <row r="531" spans="2:2" s="105" customFormat="1">
      <c r="B531" s="107"/>
    </row>
    <row r="532" spans="2:2" s="105" customFormat="1">
      <c r="B532" s="107"/>
    </row>
    <row r="533" spans="2:2" s="105" customFormat="1">
      <c r="B533" s="107"/>
    </row>
    <row r="534" spans="2:2" s="105" customFormat="1">
      <c r="B534" s="107"/>
    </row>
    <row r="535" spans="2:2" s="105" customFormat="1">
      <c r="B535" s="107"/>
    </row>
    <row r="536" spans="2:2" s="105" customFormat="1">
      <c r="B536" s="107"/>
    </row>
    <row r="537" spans="2:2" s="105" customFormat="1">
      <c r="B537" s="107"/>
    </row>
    <row r="538" spans="2:2" s="105" customFormat="1">
      <c r="B538" s="107"/>
    </row>
    <row r="539" spans="2:2" s="105" customFormat="1">
      <c r="B539" s="107"/>
    </row>
    <row r="540" spans="2:2" s="105" customFormat="1">
      <c r="B540" s="107"/>
    </row>
    <row r="541" spans="2:2" s="105" customFormat="1">
      <c r="B541" s="107"/>
    </row>
    <row r="542" spans="2:2" s="105" customFormat="1">
      <c r="B542" s="107"/>
    </row>
    <row r="543" spans="2:2" s="105" customFormat="1">
      <c r="B543" s="107"/>
    </row>
    <row r="544" spans="2:2" s="105" customFormat="1">
      <c r="B544" s="107"/>
    </row>
    <row r="545" spans="2:2" s="105" customFormat="1">
      <c r="B545" s="107"/>
    </row>
    <row r="546" spans="2:2" s="105" customFormat="1">
      <c r="B546" s="107"/>
    </row>
    <row r="547" spans="2:2" s="105" customFormat="1">
      <c r="B547" s="107"/>
    </row>
    <row r="548" spans="2:2" s="105" customFormat="1">
      <c r="B548" s="107"/>
    </row>
    <row r="549" spans="2:2" s="105" customFormat="1">
      <c r="B549" s="107"/>
    </row>
    <row r="550" spans="2:2" s="105" customFormat="1">
      <c r="B550" s="107"/>
    </row>
    <row r="551" spans="2:2" s="105" customFormat="1">
      <c r="B551" s="107"/>
    </row>
    <row r="552" spans="2:2" s="105" customFormat="1">
      <c r="B552" s="107"/>
    </row>
    <row r="553" spans="2:2" s="105" customFormat="1">
      <c r="B553" s="107"/>
    </row>
    <row r="554" spans="2:2" s="105" customFormat="1">
      <c r="B554" s="107"/>
    </row>
    <row r="555" spans="2:2" s="105" customFormat="1">
      <c r="B555" s="107"/>
    </row>
    <row r="556" spans="2:2" s="105" customFormat="1">
      <c r="B556" s="107"/>
    </row>
    <row r="557" spans="2:2" s="105" customFormat="1">
      <c r="B557" s="107"/>
    </row>
    <row r="558" spans="2:2" s="105" customFormat="1">
      <c r="B558" s="107"/>
    </row>
    <row r="559" spans="2:2" s="105" customFormat="1">
      <c r="B559" s="107"/>
    </row>
    <row r="560" spans="2:2" s="105" customFormat="1">
      <c r="B560" s="107"/>
    </row>
    <row r="561" spans="2:2" s="105" customFormat="1">
      <c r="B561" s="107"/>
    </row>
    <row r="562" spans="2:2" s="105" customFormat="1">
      <c r="B562" s="107"/>
    </row>
    <row r="563" spans="2:2" s="105" customFormat="1">
      <c r="B563" s="107"/>
    </row>
    <row r="564" spans="2:2" s="105" customFormat="1">
      <c r="B564" s="107"/>
    </row>
    <row r="565" spans="2:2" s="105" customFormat="1">
      <c r="B565" s="107"/>
    </row>
    <row r="566" spans="2:2" s="105" customFormat="1">
      <c r="B566" s="107"/>
    </row>
    <row r="567" spans="2:2" s="105" customFormat="1">
      <c r="B567" s="107"/>
    </row>
    <row r="568" spans="2:2" s="105" customFormat="1">
      <c r="B568" s="107"/>
    </row>
    <row r="569" spans="2:2" s="105" customFormat="1">
      <c r="B569" s="107"/>
    </row>
    <row r="570" spans="2:2" s="105" customFormat="1">
      <c r="B570" s="107"/>
    </row>
    <row r="571" spans="2:2" s="105" customFormat="1">
      <c r="B571" s="107"/>
    </row>
    <row r="572" spans="2:2" s="105" customFormat="1">
      <c r="B572" s="107"/>
    </row>
    <row r="573" spans="2:2" s="105" customFormat="1">
      <c r="B573" s="107"/>
    </row>
    <row r="574" spans="2:2" s="105" customFormat="1">
      <c r="B574" s="107"/>
    </row>
    <row r="575" spans="2:2" s="105" customFormat="1">
      <c r="B575" s="107"/>
    </row>
    <row r="576" spans="2:2" s="105" customFormat="1">
      <c r="B576" s="107"/>
    </row>
    <row r="577" spans="2:2" s="105" customFormat="1">
      <c r="B577" s="107"/>
    </row>
    <row r="578" spans="2:2" s="105" customFormat="1">
      <c r="B578" s="107"/>
    </row>
    <row r="579" spans="2:2" s="105" customFormat="1">
      <c r="B579" s="107"/>
    </row>
    <row r="580" spans="2:2" s="105" customFormat="1">
      <c r="B580" s="107"/>
    </row>
    <row r="581" spans="2:2" s="105" customFormat="1">
      <c r="B581" s="107"/>
    </row>
    <row r="582" spans="2:2" s="105" customFormat="1">
      <c r="B582" s="107"/>
    </row>
    <row r="583" spans="2:2" s="105" customFormat="1">
      <c r="B583" s="107"/>
    </row>
    <row r="584" spans="2:2" s="105" customFormat="1">
      <c r="B584" s="107"/>
    </row>
    <row r="585" spans="2:2" s="105" customFormat="1">
      <c r="B585" s="107"/>
    </row>
    <row r="586" spans="2:2" s="105" customFormat="1">
      <c r="B586" s="107"/>
    </row>
    <row r="587" spans="2:2" s="105" customFormat="1">
      <c r="B587" s="107"/>
    </row>
    <row r="588" spans="2:2" s="105" customFormat="1">
      <c r="B588" s="107"/>
    </row>
    <row r="589" spans="2:2" s="105" customFormat="1">
      <c r="B589" s="107"/>
    </row>
    <row r="590" spans="2:2" s="105" customFormat="1">
      <c r="B590" s="107"/>
    </row>
    <row r="591" spans="2:2" s="105" customFormat="1">
      <c r="B591" s="107"/>
    </row>
    <row r="592" spans="2:2" s="105" customFormat="1">
      <c r="B592" s="107"/>
    </row>
    <row r="593" spans="2:2" s="105" customFormat="1">
      <c r="B593" s="107"/>
    </row>
    <row r="594" spans="2:2" s="105" customFormat="1">
      <c r="B594" s="107"/>
    </row>
    <row r="595" spans="2:2" s="105" customFormat="1">
      <c r="B595" s="107"/>
    </row>
    <row r="596" spans="2:2" s="105" customFormat="1">
      <c r="B596" s="107"/>
    </row>
    <row r="597" spans="2:2" s="105" customFormat="1">
      <c r="B597" s="107"/>
    </row>
    <row r="598" spans="2:2" s="105" customFormat="1">
      <c r="B598" s="107"/>
    </row>
    <row r="599" spans="2:2" s="105" customFormat="1">
      <c r="B599" s="107"/>
    </row>
    <row r="600" spans="2:2" s="105" customFormat="1">
      <c r="B600" s="107"/>
    </row>
    <row r="601" spans="2:2" s="105" customFormat="1">
      <c r="B601" s="107"/>
    </row>
    <row r="602" spans="2:2" s="105" customFormat="1">
      <c r="B602" s="107"/>
    </row>
    <row r="603" spans="2:2" s="105" customFormat="1">
      <c r="B603" s="107"/>
    </row>
    <row r="604" spans="2:2" s="105" customFormat="1">
      <c r="B604" s="107"/>
    </row>
    <row r="605" spans="2:2" s="105" customFormat="1">
      <c r="B605" s="107"/>
    </row>
    <row r="606" spans="2:2" s="105" customFormat="1">
      <c r="B606" s="107"/>
    </row>
    <row r="607" spans="2:2" s="105" customFormat="1">
      <c r="B607" s="107"/>
    </row>
    <row r="608" spans="2:2" s="105" customFormat="1">
      <c r="B608" s="107"/>
    </row>
    <row r="609" spans="2:2" s="105" customFormat="1">
      <c r="B609" s="107"/>
    </row>
    <row r="610" spans="2:2" s="105" customFormat="1">
      <c r="B610" s="107"/>
    </row>
    <row r="611" spans="2:2" s="105" customFormat="1">
      <c r="B611" s="107"/>
    </row>
    <row r="612" spans="2:2" s="105" customFormat="1">
      <c r="B612" s="107"/>
    </row>
    <row r="613" spans="2:2" s="105" customFormat="1">
      <c r="B613" s="107"/>
    </row>
    <row r="614" spans="2:2" s="105" customFormat="1">
      <c r="B614" s="107"/>
    </row>
    <row r="615" spans="2:2" s="105" customFormat="1">
      <c r="B615" s="107"/>
    </row>
    <row r="616" spans="2:2" s="105" customFormat="1">
      <c r="B616" s="107"/>
    </row>
    <row r="617" spans="2:2" s="105" customFormat="1">
      <c r="B617" s="107"/>
    </row>
    <row r="618" spans="2:2" s="105" customFormat="1">
      <c r="B618" s="107"/>
    </row>
    <row r="619" spans="2:2" s="105" customFormat="1">
      <c r="B619" s="107"/>
    </row>
    <row r="620" spans="2:2" s="105" customFormat="1">
      <c r="B620" s="107"/>
    </row>
    <row r="621" spans="2:2" s="105" customFormat="1">
      <c r="B621" s="107"/>
    </row>
    <row r="622" spans="2:2" s="105" customFormat="1">
      <c r="B622" s="107"/>
    </row>
    <row r="623" spans="2:2" s="105" customFormat="1">
      <c r="B623" s="107"/>
    </row>
    <row r="624" spans="2:2" s="105" customFormat="1">
      <c r="B624" s="107"/>
    </row>
    <row r="625" spans="2:2" s="105" customFormat="1">
      <c r="B625" s="107"/>
    </row>
    <row r="626" spans="2:2" s="105" customFormat="1">
      <c r="B626" s="107"/>
    </row>
    <row r="627" spans="2:2" s="105" customFormat="1">
      <c r="B627" s="107"/>
    </row>
    <row r="628" spans="2:2" s="105" customFormat="1">
      <c r="B628" s="107"/>
    </row>
    <row r="629" spans="2:2" s="105" customFormat="1">
      <c r="B629" s="107"/>
    </row>
    <row r="630" spans="2:2" s="105" customFormat="1">
      <c r="B630" s="107"/>
    </row>
    <row r="631" spans="2:2" s="105" customFormat="1">
      <c r="B631" s="107"/>
    </row>
    <row r="632" spans="2:2" s="105" customFormat="1">
      <c r="B632" s="107"/>
    </row>
    <row r="633" spans="2:2" s="105" customFormat="1">
      <c r="B633" s="107"/>
    </row>
    <row r="634" spans="2:2" s="105" customFormat="1">
      <c r="B634" s="107"/>
    </row>
    <row r="635" spans="2:2" s="105" customFormat="1">
      <c r="B635" s="107"/>
    </row>
    <row r="636" spans="2:2" s="105" customFormat="1">
      <c r="B636" s="107"/>
    </row>
    <row r="637" spans="2:2" s="105" customFormat="1">
      <c r="B637" s="107"/>
    </row>
    <row r="638" spans="2:2" s="105" customFormat="1">
      <c r="B638" s="107"/>
    </row>
    <row r="639" spans="2:2" s="105" customFormat="1">
      <c r="B639" s="107"/>
    </row>
    <row r="640" spans="2:2" s="105" customFormat="1">
      <c r="B640" s="107"/>
    </row>
    <row r="641" spans="2:2" s="105" customFormat="1">
      <c r="B641" s="107"/>
    </row>
    <row r="642" spans="2:2" s="105" customFormat="1">
      <c r="B642" s="107"/>
    </row>
    <row r="643" spans="2:2" s="105" customFormat="1">
      <c r="B643" s="107"/>
    </row>
    <row r="644" spans="2:2" s="105" customFormat="1">
      <c r="B644" s="107"/>
    </row>
    <row r="645" spans="2:2" s="105" customFormat="1">
      <c r="B645" s="107"/>
    </row>
    <row r="646" spans="2:2" s="105" customFormat="1">
      <c r="B646" s="107"/>
    </row>
    <row r="647" spans="2:2" s="105" customFormat="1">
      <c r="B647" s="107"/>
    </row>
    <row r="648" spans="2:2" s="105" customFormat="1">
      <c r="B648" s="107"/>
    </row>
    <row r="649" spans="2:2" s="105" customFormat="1">
      <c r="B649" s="107"/>
    </row>
    <row r="650" spans="2:2" s="105" customFormat="1">
      <c r="B650" s="107"/>
    </row>
    <row r="651" spans="2:2" s="105" customFormat="1">
      <c r="B651" s="107"/>
    </row>
    <row r="652" spans="2:2" s="105" customFormat="1">
      <c r="B652" s="107"/>
    </row>
    <row r="653" spans="2:2" s="105" customFormat="1">
      <c r="B653" s="107"/>
    </row>
    <row r="654" spans="2:2" s="105" customFormat="1">
      <c r="B654" s="107"/>
    </row>
    <row r="655" spans="2:2" s="105" customFormat="1">
      <c r="B655" s="107"/>
    </row>
    <row r="656" spans="2:2" s="105" customFormat="1">
      <c r="B656" s="107"/>
    </row>
    <row r="657" spans="2:2" s="105" customFormat="1">
      <c r="B657" s="107"/>
    </row>
    <row r="658" spans="2:2" s="105" customFormat="1">
      <c r="B658" s="107"/>
    </row>
    <row r="659" spans="2:2" s="105" customFormat="1">
      <c r="B659" s="107"/>
    </row>
    <row r="660" spans="2:2" s="105" customFormat="1">
      <c r="B660" s="107"/>
    </row>
    <row r="661" spans="2:2" s="105" customFormat="1">
      <c r="B661" s="107"/>
    </row>
    <row r="662" spans="2:2" s="105" customFormat="1">
      <c r="B662" s="107"/>
    </row>
    <row r="663" spans="2:2" s="105" customFormat="1">
      <c r="B663" s="107"/>
    </row>
    <row r="664" spans="2:2" s="105" customFormat="1">
      <c r="B664" s="107"/>
    </row>
    <row r="665" spans="2:2" s="105" customFormat="1">
      <c r="B665" s="107"/>
    </row>
    <row r="666" spans="2:2" s="105" customFormat="1">
      <c r="B666" s="107"/>
    </row>
    <row r="667" spans="2:2" s="105" customFormat="1">
      <c r="B667" s="107"/>
    </row>
    <row r="668" spans="2:2" s="105" customFormat="1">
      <c r="B668" s="107"/>
    </row>
    <row r="669" spans="2:2" s="105" customFormat="1">
      <c r="B669" s="107"/>
    </row>
    <row r="670" spans="2:2" s="105" customFormat="1">
      <c r="B670" s="107"/>
    </row>
    <row r="671" spans="2:2" s="105" customFormat="1">
      <c r="B671" s="107"/>
    </row>
    <row r="672" spans="2:2" s="105" customFormat="1">
      <c r="B672" s="107"/>
    </row>
    <row r="673" spans="2:2" s="105" customFormat="1">
      <c r="B673" s="107"/>
    </row>
    <row r="674" spans="2:2" s="105" customFormat="1">
      <c r="B674" s="107"/>
    </row>
    <row r="675" spans="2:2" s="105" customFormat="1">
      <c r="B675" s="107"/>
    </row>
    <row r="676" spans="2:2" s="105" customFormat="1">
      <c r="B676" s="107"/>
    </row>
    <row r="677" spans="2:2" s="105" customFormat="1">
      <c r="B677" s="107"/>
    </row>
    <row r="678" spans="2:2" s="105" customFormat="1">
      <c r="B678" s="107"/>
    </row>
    <row r="679" spans="2:2" s="105" customFormat="1">
      <c r="B679" s="107"/>
    </row>
    <row r="680" spans="2:2" s="105" customFormat="1">
      <c r="B680" s="107"/>
    </row>
    <row r="681" spans="2:2" s="105" customFormat="1">
      <c r="B681" s="107"/>
    </row>
    <row r="682" spans="2:2" s="105" customFormat="1">
      <c r="B682" s="107"/>
    </row>
    <row r="683" spans="2:2" s="105" customFormat="1">
      <c r="B683" s="107"/>
    </row>
    <row r="684" spans="2:2" s="105" customFormat="1">
      <c r="B684" s="107"/>
    </row>
    <row r="685" spans="2:2" s="105" customFormat="1">
      <c r="B685" s="107"/>
    </row>
    <row r="686" spans="2:2" s="105" customFormat="1">
      <c r="B686" s="107"/>
    </row>
    <row r="687" spans="2:2" s="105" customFormat="1">
      <c r="B687" s="107"/>
    </row>
    <row r="688" spans="2:2" s="105" customFormat="1">
      <c r="B688" s="107"/>
    </row>
    <row r="689" spans="2:2" s="105" customFormat="1">
      <c r="B689" s="107"/>
    </row>
    <row r="690" spans="2:2" s="105" customFormat="1">
      <c r="B690" s="107"/>
    </row>
    <row r="691" spans="2:2" s="105" customFormat="1">
      <c r="B691" s="107"/>
    </row>
    <row r="692" spans="2:2" s="105" customFormat="1">
      <c r="B692" s="107"/>
    </row>
    <row r="693" spans="2:2" s="105" customFormat="1">
      <c r="B693" s="107"/>
    </row>
    <row r="694" spans="2:2" s="105" customFormat="1">
      <c r="B694" s="107"/>
    </row>
    <row r="695" spans="2:2" s="105" customFormat="1">
      <c r="B695" s="107"/>
    </row>
    <row r="696" spans="2:2" s="105" customFormat="1">
      <c r="B696" s="107"/>
    </row>
    <row r="697" spans="2:2" s="105" customFormat="1">
      <c r="B697" s="107"/>
    </row>
    <row r="698" spans="2:2" s="105" customFormat="1">
      <c r="B698" s="107"/>
    </row>
    <row r="699" spans="2:2" s="105" customFormat="1">
      <c r="B699" s="107"/>
    </row>
    <row r="700" spans="2:2" s="105" customFormat="1">
      <c r="B700" s="107"/>
    </row>
    <row r="701" spans="2:2" s="105" customFormat="1">
      <c r="B701" s="107"/>
    </row>
    <row r="702" spans="2:2" s="105" customFormat="1">
      <c r="B702" s="107"/>
    </row>
    <row r="703" spans="2:2" s="105" customFormat="1">
      <c r="B703" s="107"/>
    </row>
    <row r="704" spans="2:2" s="105" customFormat="1">
      <c r="B704" s="107"/>
    </row>
    <row r="705" spans="2:2" s="105" customFormat="1">
      <c r="B705" s="107"/>
    </row>
    <row r="706" spans="2:2" s="105" customFormat="1">
      <c r="B706" s="107"/>
    </row>
    <row r="707" spans="2:2" s="105" customFormat="1">
      <c r="B707" s="107"/>
    </row>
    <row r="708" spans="2:2" s="105" customFormat="1">
      <c r="B708" s="107"/>
    </row>
    <row r="709" spans="2:2" s="105" customFormat="1">
      <c r="B709" s="107"/>
    </row>
    <row r="710" spans="2:2" s="105" customFormat="1">
      <c r="B710" s="107"/>
    </row>
    <row r="711" spans="2:2" s="105" customFormat="1">
      <c r="B711" s="107"/>
    </row>
    <row r="712" spans="2:2" s="105" customFormat="1">
      <c r="B712" s="107"/>
    </row>
    <row r="713" spans="2:2" s="105" customFormat="1">
      <c r="B713" s="107"/>
    </row>
    <row r="714" spans="2:2" s="105" customFormat="1">
      <c r="B714" s="107"/>
    </row>
    <row r="715" spans="2:2" s="105" customFormat="1">
      <c r="B715" s="107"/>
    </row>
    <row r="716" spans="2:2" s="105" customFormat="1">
      <c r="B716" s="107"/>
    </row>
    <row r="717" spans="2:2" s="105" customFormat="1">
      <c r="B717" s="107"/>
    </row>
    <row r="718" spans="2:2" s="105" customFormat="1">
      <c r="B718" s="107"/>
    </row>
    <row r="719" spans="2:2" s="105" customFormat="1">
      <c r="B719" s="107"/>
    </row>
    <row r="720" spans="2:2" s="105" customFormat="1">
      <c r="B720" s="107"/>
    </row>
    <row r="721" spans="2:5" s="105" customFormat="1">
      <c r="B721" s="107"/>
    </row>
    <row r="722" spans="2:5" s="105" customFormat="1">
      <c r="B722" s="107"/>
    </row>
    <row r="723" spans="2:5" s="105" customFormat="1">
      <c r="B723" s="107"/>
    </row>
    <row r="724" spans="2:5" s="105" customFormat="1">
      <c r="B724" s="107"/>
    </row>
    <row r="725" spans="2:5" s="105" customFormat="1">
      <c r="B725" s="107"/>
    </row>
    <row r="726" spans="2:5" s="105" customFormat="1">
      <c r="B726" s="107"/>
    </row>
    <row r="727" spans="2:5" s="105" customFormat="1">
      <c r="B727" s="107"/>
    </row>
    <row r="728" spans="2:5" s="105" customFormat="1">
      <c r="B728" s="107"/>
    </row>
    <row r="729" spans="2:5" s="105" customFormat="1">
      <c r="B729" s="107"/>
    </row>
    <row r="730" spans="2:5" s="105" customFormat="1">
      <c r="B730" s="107"/>
    </row>
    <row r="731" spans="2:5" s="105" customFormat="1">
      <c r="B731" s="107"/>
      <c r="E731" s="105">
        <v>0</v>
      </c>
    </row>
    <row r="732" spans="2:5" s="105" customFormat="1">
      <c r="B732" s="107"/>
    </row>
    <row r="733" spans="2:5" s="105" customFormat="1">
      <c r="B733" s="107"/>
    </row>
    <row r="734" spans="2:5" s="105" customFormat="1">
      <c r="B734" s="107"/>
    </row>
    <row r="735" spans="2:5" s="105" customFormat="1">
      <c r="B735" s="107"/>
    </row>
    <row r="736" spans="2:5" s="105" customFormat="1">
      <c r="B736" s="107"/>
    </row>
    <row r="737" spans="2:2" s="105" customFormat="1">
      <c r="B737" s="107"/>
    </row>
    <row r="738" spans="2:2" s="105" customFormat="1">
      <c r="B738" s="107"/>
    </row>
    <row r="739" spans="2:2" s="105" customFormat="1">
      <c r="B739" s="107"/>
    </row>
    <row r="740" spans="2:2" s="105" customFormat="1">
      <c r="B740" s="107"/>
    </row>
    <row r="741" spans="2:2" s="105" customFormat="1">
      <c r="B741" s="107"/>
    </row>
    <row r="742" spans="2:2" s="105" customFormat="1">
      <c r="B742" s="107"/>
    </row>
    <row r="743" spans="2:2" s="105" customFormat="1">
      <c r="B743" s="107"/>
    </row>
    <row r="744" spans="2:2" s="105" customFormat="1">
      <c r="B744" s="107"/>
    </row>
    <row r="745" spans="2:2" s="105" customFormat="1">
      <c r="B745" s="107"/>
    </row>
    <row r="746" spans="2:2" s="105" customFormat="1">
      <c r="B746" s="107"/>
    </row>
    <row r="747" spans="2:2" s="105" customFormat="1">
      <c r="B747" s="107"/>
    </row>
    <row r="748" spans="2:2" s="105" customFormat="1">
      <c r="B748" s="107"/>
    </row>
    <row r="749" spans="2:2" s="105" customFormat="1">
      <c r="B749" s="107"/>
    </row>
    <row r="750" spans="2:2" s="105" customFormat="1">
      <c r="B750" s="107"/>
    </row>
    <row r="751" spans="2:2" s="105" customFormat="1">
      <c r="B751" s="107"/>
    </row>
    <row r="752" spans="2:2" s="105" customFormat="1">
      <c r="B752" s="107"/>
    </row>
    <row r="753" spans="2:2" s="105" customFormat="1">
      <c r="B753" s="107"/>
    </row>
    <row r="754" spans="2:2" s="105" customFormat="1">
      <c r="B754" s="107"/>
    </row>
    <row r="755" spans="2:2" s="105" customFormat="1">
      <c r="B755" s="107"/>
    </row>
    <row r="756" spans="2:2" s="105" customFormat="1">
      <c r="B756" s="107"/>
    </row>
    <row r="757" spans="2:2" s="105" customFormat="1">
      <c r="B757" s="107"/>
    </row>
    <row r="758" spans="2:2" s="105" customFormat="1">
      <c r="B758" s="107"/>
    </row>
    <row r="759" spans="2:2" s="105" customFormat="1">
      <c r="B759" s="107"/>
    </row>
    <row r="760" spans="2:2" s="105" customFormat="1">
      <c r="B760" s="107"/>
    </row>
    <row r="761" spans="2:2" s="105" customFormat="1">
      <c r="B761" s="107"/>
    </row>
    <row r="762" spans="2:2" s="105" customFormat="1">
      <c r="B762" s="107"/>
    </row>
    <row r="763" spans="2:2" s="105" customFormat="1">
      <c r="B763" s="107"/>
    </row>
    <row r="764" spans="2:2" s="105" customFormat="1">
      <c r="B764" s="107"/>
    </row>
    <row r="765" spans="2:2" s="105" customFormat="1">
      <c r="B765" s="107"/>
    </row>
    <row r="766" spans="2:2" s="105" customFormat="1">
      <c r="B766" s="107"/>
    </row>
    <row r="767" spans="2:2" s="105" customFormat="1">
      <c r="B767" s="107"/>
    </row>
    <row r="768" spans="2:2" s="105" customFormat="1">
      <c r="B768" s="107"/>
    </row>
    <row r="769" spans="2:2" s="105" customFormat="1">
      <c r="B769" s="107"/>
    </row>
    <row r="770" spans="2:2" s="105" customFormat="1">
      <c r="B770" s="107"/>
    </row>
    <row r="771" spans="2:2" s="105" customFormat="1">
      <c r="B771" s="107"/>
    </row>
    <row r="772" spans="2:2" s="105" customFormat="1">
      <c r="B772" s="107"/>
    </row>
    <row r="773" spans="2:2" s="105" customFormat="1">
      <c r="B773" s="107"/>
    </row>
    <row r="774" spans="2:2" s="105" customFormat="1">
      <c r="B774" s="107"/>
    </row>
    <row r="775" spans="2:2" s="105" customFormat="1">
      <c r="B775" s="107"/>
    </row>
    <row r="776" spans="2:2" s="105" customFormat="1">
      <c r="B776" s="107"/>
    </row>
    <row r="777" spans="2:2" s="105" customFormat="1">
      <c r="B777" s="107"/>
    </row>
    <row r="778" spans="2:2" s="105" customFormat="1">
      <c r="B778" s="107"/>
    </row>
    <row r="779" spans="2:2" s="105" customFormat="1">
      <c r="B779" s="107"/>
    </row>
    <row r="780" spans="2:2" s="105" customFormat="1">
      <c r="B780" s="107"/>
    </row>
    <row r="781" spans="2:2" s="105" customFormat="1">
      <c r="B781" s="107"/>
    </row>
    <row r="782" spans="2:2" s="105" customFormat="1">
      <c r="B782" s="107"/>
    </row>
    <row r="783" spans="2:2" s="105" customFormat="1">
      <c r="B783" s="107"/>
    </row>
    <row r="784" spans="2:2" s="105" customFormat="1">
      <c r="B784" s="107"/>
    </row>
    <row r="785" spans="2:2" s="105" customFormat="1">
      <c r="B785" s="107"/>
    </row>
    <row r="786" spans="2:2" s="105" customFormat="1">
      <c r="B786" s="107"/>
    </row>
    <row r="787" spans="2:2" s="105" customFormat="1">
      <c r="B787" s="107"/>
    </row>
    <row r="788" spans="2:2" s="105" customFormat="1">
      <c r="B788" s="107"/>
    </row>
    <row r="789" spans="2:2" s="105" customFormat="1">
      <c r="B789" s="107"/>
    </row>
    <row r="790" spans="2:2" s="105" customFormat="1">
      <c r="B790" s="107"/>
    </row>
    <row r="791" spans="2:2" s="105" customFormat="1">
      <c r="B791" s="107"/>
    </row>
    <row r="792" spans="2:2" s="105" customFormat="1">
      <c r="B792" s="107"/>
    </row>
    <row r="793" spans="2:2" s="105" customFormat="1">
      <c r="B793" s="107"/>
    </row>
    <row r="794" spans="2:2" s="105" customFormat="1">
      <c r="B794" s="107"/>
    </row>
    <row r="795" spans="2:2" s="105" customFormat="1">
      <c r="B795" s="107"/>
    </row>
    <row r="796" spans="2:2" s="105" customFormat="1">
      <c r="B796" s="107"/>
    </row>
    <row r="797" spans="2:2" s="105" customFormat="1">
      <c r="B797" s="107"/>
    </row>
    <row r="798" spans="2:2" s="105" customFormat="1">
      <c r="B798" s="107"/>
    </row>
    <row r="799" spans="2:2" s="105" customFormat="1">
      <c r="B799" s="107"/>
    </row>
    <row r="800" spans="2:2" s="105" customFormat="1">
      <c r="B800" s="107"/>
    </row>
    <row r="801" spans="2:2" s="105" customFormat="1">
      <c r="B801" s="107"/>
    </row>
    <row r="802" spans="2:2" s="105" customFormat="1">
      <c r="B802" s="107"/>
    </row>
    <row r="803" spans="2:2" s="105" customFormat="1">
      <c r="B803" s="107"/>
    </row>
    <row r="804" spans="2:2" s="105" customFormat="1">
      <c r="B804" s="107"/>
    </row>
    <row r="805" spans="2:2" s="105" customFormat="1">
      <c r="B805" s="107"/>
    </row>
    <row r="806" spans="2:2" s="105" customFormat="1">
      <c r="B806" s="107"/>
    </row>
    <row r="807" spans="2:2" s="105" customFormat="1">
      <c r="B807" s="107"/>
    </row>
    <row r="808" spans="2:2" s="105" customFormat="1">
      <c r="B808" s="107"/>
    </row>
    <row r="809" spans="2:2" s="105" customFormat="1">
      <c r="B809" s="107"/>
    </row>
    <row r="810" spans="2:2" s="105" customFormat="1">
      <c r="B810" s="107"/>
    </row>
    <row r="811" spans="2:2" s="105" customFormat="1">
      <c r="B811" s="107"/>
    </row>
    <row r="812" spans="2:2" s="105" customFormat="1">
      <c r="B812" s="107"/>
    </row>
    <row r="813" spans="2:2" s="105" customFormat="1">
      <c r="B813" s="107"/>
    </row>
    <row r="814" spans="2:2" s="105" customFormat="1">
      <c r="B814" s="107"/>
    </row>
    <row r="815" spans="2:2" s="105" customFormat="1">
      <c r="B815" s="107"/>
    </row>
    <row r="816" spans="2:2" s="105" customFormat="1">
      <c r="B816" s="107"/>
    </row>
    <row r="817" spans="2:2" s="105" customFormat="1">
      <c r="B817" s="107"/>
    </row>
    <row r="818" spans="2:2" s="105" customFormat="1">
      <c r="B818" s="107"/>
    </row>
    <row r="819" spans="2:2" s="105" customFormat="1">
      <c r="B819" s="107"/>
    </row>
    <row r="820" spans="2:2" s="105" customFormat="1">
      <c r="B820" s="107"/>
    </row>
    <row r="821" spans="2:2" s="105" customFormat="1">
      <c r="B821" s="107"/>
    </row>
    <row r="822" spans="2:2" s="105" customFormat="1">
      <c r="B822" s="107"/>
    </row>
    <row r="823" spans="2:2" s="105" customFormat="1">
      <c r="B823" s="107"/>
    </row>
    <row r="824" spans="2:2" s="105" customFormat="1">
      <c r="B824" s="107"/>
    </row>
    <row r="825" spans="2:2" s="105" customFormat="1">
      <c r="B825" s="107"/>
    </row>
    <row r="826" spans="2:2" s="105" customFormat="1">
      <c r="B826" s="107"/>
    </row>
    <row r="827" spans="2:2" s="105" customFormat="1">
      <c r="B827" s="107"/>
    </row>
    <row r="828" spans="2:2" s="105" customFormat="1">
      <c r="B828" s="107"/>
    </row>
    <row r="829" spans="2:2" s="105" customFormat="1">
      <c r="B829" s="107"/>
    </row>
    <row r="830" spans="2:2" s="105" customFormat="1">
      <c r="B830" s="107"/>
    </row>
    <row r="831" spans="2:2" s="105" customFormat="1">
      <c r="B831" s="107"/>
    </row>
    <row r="832" spans="2:2" s="105" customFormat="1">
      <c r="B832" s="107"/>
    </row>
    <row r="833" spans="2:2" s="105" customFormat="1">
      <c r="B833" s="107"/>
    </row>
    <row r="834" spans="2:2" s="105" customFormat="1">
      <c r="B834" s="107"/>
    </row>
    <row r="835" spans="2:2" s="105" customFormat="1">
      <c r="B835" s="107"/>
    </row>
    <row r="836" spans="2:2" s="105" customFormat="1">
      <c r="B836" s="107"/>
    </row>
    <row r="837" spans="2:2" s="105" customFormat="1">
      <c r="B837" s="107"/>
    </row>
    <row r="838" spans="2:2" s="105" customFormat="1">
      <c r="B838" s="107"/>
    </row>
    <row r="839" spans="2:2" s="105" customFormat="1">
      <c r="B839" s="107"/>
    </row>
    <row r="840" spans="2:2" s="105" customFormat="1">
      <c r="B840" s="107"/>
    </row>
    <row r="841" spans="2:2" s="105" customFormat="1">
      <c r="B841" s="107"/>
    </row>
    <row r="842" spans="2:2" s="105" customFormat="1">
      <c r="B842" s="107"/>
    </row>
    <row r="843" spans="2:2" s="105" customFormat="1">
      <c r="B843" s="107"/>
    </row>
    <row r="844" spans="2:2" s="105" customFormat="1">
      <c r="B844" s="107"/>
    </row>
    <row r="845" spans="2:2" s="105" customFormat="1">
      <c r="B845" s="107"/>
    </row>
    <row r="846" spans="2:2" s="105" customFormat="1">
      <c r="B846" s="107"/>
    </row>
    <row r="847" spans="2:2" s="105" customFormat="1">
      <c r="B847" s="107"/>
    </row>
    <row r="848" spans="2:2" s="105" customFormat="1">
      <c r="B848" s="107"/>
    </row>
    <row r="849" spans="2:2" s="105" customFormat="1">
      <c r="B849" s="107"/>
    </row>
    <row r="850" spans="2:2" s="105" customFormat="1">
      <c r="B850" s="107"/>
    </row>
    <row r="851" spans="2:2" s="105" customFormat="1">
      <c r="B851" s="107"/>
    </row>
    <row r="852" spans="2:2" s="105" customFormat="1">
      <c r="B852" s="107"/>
    </row>
    <row r="853" spans="2:2" s="105" customFormat="1">
      <c r="B853" s="107"/>
    </row>
    <row r="854" spans="2:2" s="105" customFormat="1">
      <c r="B854" s="107"/>
    </row>
    <row r="855" spans="2:2" s="105" customFormat="1">
      <c r="B855" s="107"/>
    </row>
    <row r="856" spans="2:2" s="105" customFormat="1">
      <c r="B856" s="107"/>
    </row>
    <row r="857" spans="2:2" s="105" customFormat="1">
      <c r="B857" s="107"/>
    </row>
    <row r="858" spans="2:2" s="105" customFormat="1">
      <c r="B858" s="107"/>
    </row>
    <row r="859" spans="2:2" s="105" customFormat="1">
      <c r="B859" s="107"/>
    </row>
    <row r="860" spans="2:2" s="105" customFormat="1">
      <c r="B860" s="107"/>
    </row>
    <row r="861" spans="2:2" s="105" customFormat="1">
      <c r="B861" s="107"/>
    </row>
    <row r="862" spans="2:2" s="105" customFormat="1">
      <c r="B862" s="107"/>
    </row>
    <row r="863" spans="2:2" s="105" customFormat="1">
      <c r="B863" s="107"/>
    </row>
    <row r="864" spans="2:2" s="105" customFormat="1">
      <c r="B864" s="107"/>
    </row>
    <row r="865" spans="2:2" s="105" customFormat="1">
      <c r="B865" s="107"/>
    </row>
    <row r="866" spans="2:2" s="105" customFormat="1">
      <c r="B866" s="107"/>
    </row>
    <row r="867" spans="2:2" s="105" customFormat="1">
      <c r="B867" s="107"/>
    </row>
    <row r="868" spans="2:2" s="105" customFormat="1">
      <c r="B868" s="107"/>
    </row>
    <row r="869" spans="2:2" s="105" customFormat="1">
      <c r="B869" s="107"/>
    </row>
    <row r="870" spans="2:2" s="105" customFormat="1">
      <c r="B870" s="107"/>
    </row>
    <row r="871" spans="2:2" s="105" customFormat="1">
      <c r="B871" s="107"/>
    </row>
    <row r="872" spans="2:2" s="105" customFormat="1">
      <c r="B872" s="107"/>
    </row>
    <row r="873" spans="2:2" s="105" customFormat="1">
      <c r="B873" s="107"/>
    </row>
    <row r="874" spans="2:2" s="105" customFormat="1">
      <c r="B874" s="107"/>
    </row>
    <row r="875" spans="2:2" s="105" customFormat="1">
      <c r="B875" s="107"/>
    </row>
    <row r="876" spans="2:2" s="105" customFormat="1">
      <c r="B876" s="107"/>
    </row>
    <row r="877" spans="2:2" s="105" customFormat="1">
      <c r="B877" s="107"/>
    </row>
    <row r="878" spans="2:2" s="105" customFormat="1">
      <c r="B878" s="107"/>
    </row>
    <row r="879" spans="2:2" s="105" customFormat="1">
      <c r="B879" s="107"/>
    </row>
    <row r="880" spans="2:2" s="105" customFormat="1">
      <c r="B880" s="107"/>
    </row>
    <row r="881" spans="2:2" s="105" customFormat="1">
      <c r="B881" s="107"/>
    </row>
    <row r="882" spans="2:2" s="105" customFormat="1">
      <c r="B882" s="107"/>
    </row>
    <row r="883" spans="2:2" s="105" customFormat="1">
      <c r="B883" s="107"/>
    </row>
    <row r="884" spans="2:2" s="105" customFormat="1">
      <c r="B884" s="107"/>
    </row>
    <row r="885" spans="2:2" s="105" customFormat="1">
      <c r="B885" s="107"/>
    </row>
    <row r="886" spans="2:2" s="105" customFormat="1">
      <c r="B886" s="107"/>
    </row>
    <row r="887" spans="2:2" s="105" customFormat="1">
      <c r="B887" s="107"/>
    </row>
    <row r="888" spans="2:2" s="105" customFormat="1">
      <c r="B888" s="107"/>
    </row>
    <row r="889" spans="2:2" s="105" customFormat="1">
      <c r="B889" s="107"/>
    </row>
    <row r="890" spans="2:2" s="105" customFormat="1">
      <c r="B890" s="107"/>
    </row>
    <row r="891" spans="2:2" s="105" customFormat="1">
      <c r="B891" s="107"/>
    </row>
    <row r="892" spans="2:2" s="105" customFormat="1">
      <c r="B892" s="107"/>
    </row>
    <row r="893" spans="2:2" s="105" customFormat="1">
      <c r="B893" s="107"/>
    </row>
    <row r="894" spans="2:2" s="105" customFormat="1">
      <c r="B894" s="107"/>
    </row>
    <row r="895" spans="2:2" s="105" customFormat="1">
      <c r="B895" s="107"/>
    </row>
    <row r="896" spans="2:2" s="105" customFormat="1">
      <c r="B896" s="107"/>
    </row>
    <row r="897" spans="2:2" s="105" customFormat="1">
      <c r="B897" s="107"/>
    </row>
    <row r="898" spans="2:2" s="105" customFormat="1">
      <c r="B898" s="107"/>
    </row>
    <row r="899" spans="2:2" s="105" customFormat="1">
      <c r="B899" s="107"/>
    </row>
    <row r="900" spans="2:2" s="105" customFormat="1">
      <c r="B900" s="107"/>
    </row>
    <row r="901" spans="2:2" s="105" customFormat="1">
      <c r="B901" s="107"/>
    </row>
    <row r="902" spans="2:2" s="105" customFormat="1">
      <c r="B902" s="107"/>
    </row>
    <row r="903" spans="2:2" s="105" customFormat="1">
      <c r="B903" s="107"/>
    </row>
    <row r="904" spans="2:2" s="105" customFormat="1">
      <c r="B904" s="107"/>
    </row>
    <row r="905" spans="2:2" s="105" customFormat="1">
      <c r="B905" s="107"/>
    </row>
    <row r="906" spans="2:2" s="105" customFormat="1">
      <c r="B906" s="107"/>
    </row>
    <row r="907" spans="2:2" s="105" customFormat="1">
      <c r="B907" s="107"/>
    </row>
    <row r="908" spans="2:2" s="105" customFormat="1">
      <c r="B908" s="107"/>
    </row>
    <row r="909" spans="2:2" s="105" customFormat="1">
      <c r="B909" s="107"/>
    </row>
    <row r="910" spans="2:2" s="105" customFormat="1">
      <c r="B910" s="107"/>
    </row>
    <row r="911" spans="2:2" s="105" customFormat="1">
      <c r="B911" s="107"/>
    </row>
    <row r="912" spans="2:2" s="105" customFormat="1">
      <c r="B912" s="107"/>
    </row>
    <row r="913" spans="2:2" s="105" customFormat="1">
      <c r="B913" s="107"/>
    </row>
    <row r="914" spans="2:2" s="105" customFormat="1">
      <c r="B914" s="107"/>
    </row>
    <row r="915" spans="2:2" s="105" customFormat="1">
      <c r="B915" s="107"/>
    </row>
    <row r="916" spans="2:2" s="105" customFormat="1">
      <c r="B916" s="107"/>
    </row>
    <row r="917" spans="2:2" s="105" customFormat="1">
      <c r="B917" s="107"/>
    </row>
    <row r="918" spans="2:2" s="105" customFormat="1">
      <c r="B918" s="107"/>
    </row>
    <row r="919" spans="2:2" s="105" customFormat="1">
      <c r="B919" s="107"/>
    </row>
    <row r="920" spans="2:2" s="105" customFormat="1">
      <c r="B920" s="107"/>
    </row>
    <row r="921" spans="2:2" s="105" customFormat="1">
      <c r="B921" s="107"/>
    </row>
    <row r="922" spans="2:2" s="105" customFormat="1">
      <c r="B922" s="107"/>
    </row>
    <row r="923" spans="2:2" s="105" customFormat="1">
      <c r="B923" s="107"/>
    </row>
    <row r="924" spans="2:2" s="105" customFormat="1">
      <c r="B924" s="107"/>
    </row>
    <row r="925" spans="2:2" s="105" customFormat="1">
      <c r="B925" s="107"/>
    </row>
    <row r="926" spans="2:2" s="105" customFormat="1">
      <c r="B926" s="107"/>
    </row>
    <row r="927" spans="2:2" s="105" customFormat="1">
      <c r="B927" s="107"/>
    </row>
    <row r="928" spans="2:2" s="105" customFormat="1">
      <c r="B928" s="107"/>
    </row>
    <row r="929" spans="2:2" s="105" customFormat="1">
      <c r="B929" s="107"/>
    </row>
    <row r="930" spans="2:2" s="105" customFormat="1">
      <c r="B930" s="107"/>
    </row>
    <row r="931" spans="2:2" s="105" customFormat="1">
      <c r="B931" s="107"/>
    </row>
    <row r="932" spans="2:2" s="105" customFormat="1">
      <c r="B932" s="107"/>
    </row>
    <row r="933" spans="2:2" s="105" customFormat="1">
      <c r="B933" s="107"/>
    </row>
    <row r="934" spans="2:2" s="105" customFormat="1">
      <c r="B934" s="107"/>
    </row>
    <row r="935" spans="2:2" s="105" customFormat="1">
      <c r="B935" s="107"/>
    </row>
    <row r="936" spans="2:2" s="105" customFormat="1">
      <c r="B936" s="107"/>
    </row>
    <row r="937" spans="2:2" s="105" customFormat="1">
      <c r="B937" s="107"/>
    </row>
    <row r="938" spans="2:2" s="105" customFormat="1">
      <c r="B938" s="107"/>
    </row>
    <row r="939" spans="2:2" s="105" customFormat="1">
      <c r="B939" s="107"/>
    </row>
    <row r="940" spans="2:2" s="105" customFormat="1">
      <c r="B940" s="107"/>
    </row>
    <row r="941" spans="2:2" s="105" customFormat="1">
      <c r="B941" s="107"/>
    </row>
    <row r="942" spans="2:2" s="105" customFormat="1">
      <c r="B942" s="107"/>
    </row>
    <row r="943" spans="2:2" s="105" customFormat="1">
      <c r="B943" s="107"/>
    </row>
    <row r="944" spans="2:2" s="105" customFormat="1">
      <c r="B944" s="107"/>
    </row>
    <row r="945" spans="2:2" s="105" customFormat="1">
      <c r="B945" s="107"/>
    </row>
    <row r="946" spans="2:2" s="105" customFormat="1">
      <c r="B946" s="107"/>
    </row>
    <row r="947" spans="2:2" s="105" customFormat="1">
      <c r="B947" s="107"/>
    </row>
    <row r="948" spans="2:2" s="105" customFormat="1">
      <c r="B948" s="107"/>
    </row>
    <row r="949" spans="2:2" s="105" customFormat="1">
      <c r="B949" s="107"/>
    </row>
    <row r="950" spans="2:2" s="105" customFormat="1">
      <c r="B950" s="107"/>
    </row>
    <row r="951" spans="2:2" s="105" customFormat="1">
      <c r="B951" s="107"/>
    </row>
    <row r="952" spans="2:2" s="105" customFormat="1">
      <c r="B952" s="107"/>
    </row>
    <row r="953" spans="2:2" s="105" customFormat="1">
      <c r="B953" s="107"/>
    </row>
    <row r="954" spans="2:2" s="105" customFormat="1">
      <c r="B954" s="107"/>
    </row>
    <row r="955" spans="2:2" s="105" customFormat="1">
      <c r="B955" s="107"/>
    </row>
    <row r="956" spans="2:2" s="105" customFormat="1">
      <c r="B956" s="107"/>
    </row>
    <row r="957" spans="2:2" s="105" customFormat="1">
      <c r="B957" s="107"/>
    </row>
    <row r="958" spans="2:2" s="105" customFormat="1">
      <c r="B958" s="107"/>
    </row>
    <row r="959" spans="2:2" s="105" customFormat="1">
      <c r="B959" s="107"/>
    </row>
    <row r="960" spans="2:2" s="105" customFormat="1">
      <c r="B960" s="107"/>
    </row>
    <row r="961" spans="2:2" s="105" customFormat="1">
      <c r="B961" s="107"/>
    </row>
    <row r="962" spans="2:2" s="105" customFormat="1">
      <c r="B962" s="107"/>
    </row>
    <row r="963" spans="2:2" s="105" customFormat="1">
      <c r="B963" s="107"/>
    </row>
    <row r="964" spans="2:2" s="105" customFormat="1">
      <c r="B964" s="107"/>
    </row>
    <row r="965" spans="2:2" s="105" customFormat="1">
      <c r="B965" s="107"/>
    </row>
    <row r="966" spans="2:2" s="105" customFormat="1">
      <c r="B966" s="107"/>
    </row>
    <row r="967" spans="2:2" s="105" customFormat="1">
      <c r="B967" s="107"/>
    </row>
    <row r="968" spans="2:2" s="105" customFormat="1">
      <c r="B968" s="107"/>
    </row>
    <row r="969" spans="2:2" s="105" customFormat="1">
      <c r="B969" s="107"/>
    </row>
    <row r="970" spans="2:2" s="105" customFormat="1">
      <c r="B970" s="107"/>
    </row>
    <row r="971" spans="2:2" s="105" customFormat="1">
      <c r="B971" s="107"/>
    </row>
    <row r="972" spans="2:2" s="105" customFormat="1">
      <c r="B972" s="107"/>
    </row>
    <row r="973" spans="2:2" s="105" customFormat="1">
      <c r="B973" s="107"/>
    </row>
    <row r="974" spans="2:2" s="105" customFormat="1">
      <c r="B974" s="107"/>
    </row>
    <row r="975" spans="2:2" s="105" customFormat="1">
      <c r="B975" s="107"/>
    </row>
    <row r="976" spans="2:2" s="105" customFormat="1">
      <c r="B976" s="107"/>
    </row>
    <row r="977" spans="2:2" s="105" customFormat="1">
      <c r="B977" s="107"/>
    </row>
    <row r="978" spans="2:2" s="105" customFormat="1">
      <c r="B978" s="107"/>
    </row>
    <row r="979" spans="2:2" s="105" customFormat="1">
      <c r="B979" s="107"/>
    </row>
    <row r="980" spans="2:2" s="105" customFormat="1">
      <c r="B980" s="107"/>
    </row>
    <row r="981" spans="2:2" s="105" customFormat="1">
      <c r="B981" s="107"/>
    </row>
    <row r="982" spans="2:2" s="105" customFormat="1">
      <c r="B982" s="107"/>
    </row>
    <row r="983" spans="2:2" s="105" customFormat="1">
      <c r="B983" s="107"/>
    </row>
    <row r="984" spans="2:2" s="105" customFormat="1">
      <c r="B984" s="107"/>
    </row>
    <row r="985" spans="2:2" s="105" customFormat="1">
      <c r="B985" s="107"/>
    </row>
    <row r="986" spans="2:2" s="105" customFormat="1">
      <c r="B986" s="107"/>
    </row>
    <row r="987" spans="2:2" s="105" customFormat="1">
      <c r="B987" s="107"/>
    </row>
    <row r="988" spans="2:2" s="105" customFormat="1">
      <c r="B988" s="107"/>
    </row>
    <row r="989" spans="2:2" s="105" customFormat="1">
      <c r="B989" s="107"/>
    </row>
    <row r="990" spans="2:2" s="105" customFormat="1">
      <c r="B990" s="107"/>
    </row>
    <row r="991" spans="2:2" s="105" customFormat="1">
      <c r="B991" s="107"/>
    </row>
    <row r="992" spans="2:2" s="105" customFormat="1">
      <c r="B992" s="107"/>
    </row>
    <row r="993" spans="2:2" s="105" customFormat="1">
      <c r="B993" s="107"/>
    </row>
    <row r="994" spans="2:2" s="105" customFormat="1">
      <c r="B994" s="107"/>
    </row>
    <row r="995" spans="2:2" s="105" customFormat="1">
      <c r="B995" s="107"/>
    </row>
    <row r="996" spans="2:2" s="105" customFormat="1">
      <c r="B996" s="107"/>
    </row>
    <row r="997" spans="2:2" s="105" customFormat="1">
      <c r="B997" s="107"/>
    </row>
    <row r="998" spans="2:2" s="105" customFormat="1">
      <c r="B998" s="107"/>
    </row>
    <row r="999" spans="2:2" s="105" customFormat="1">
      <c r="B999" s="107"/>
    </row>
    <row r="1000" spans="2:2" s="105" customFormat="1">
      <c r="B1000" s="107"/>
    </row>
    <row r="1001" spans="2:2" s="105" customFormat="1">
      <c r="B1001" s="107"/>
    </row>
    <row r="1002" spans="2:2" s="105" customFormat="1">
      <c r="B1002" s="107"/>
    </row>
    <row r="1003" spans="2:2" s="105" customFormat="1">
      <c r="B1003" s="107"/>
    </row>
    <row r="1004" spans="2:2" s="105" customFormat="1">
      <c r="B1004" s="107"/>
    </row>
    <row r="1005" spans="2:2" s="105" customFormat="1">
      <c r="B1005" s="107"/>
    </row>
    <row r="1006" spans="2:2" s="105" customFormat="1">
      <c r="B1006" s="107"/>
    </row>
    <row r="1007" spans="2:2" s="105" customFormat="1">
      <c r="B1007" s="107"/>
    </row>
    <row r="1008" spans="2:2" s="105" customFormat="1">
      <c r="B1008" s="107"/>
    </row>
    <row r="1009" spans="2:2" s="105" customFormat="1">
      <c r="B1009" s="107"/>
    </row>
    <row r="1010" spans="2:2" s="105" customFormat="1">
      <c r="B1010" s="107"/>
    </row>
    <row r="1011" spans="2:2" s="105" customFormat="1">
      <c r="B1011" s="107"/>
    </row>
    <row r="1012" spans="2:2" s="105" customFormat="1">
      <c r="B1012" s="107"/>
    </row>
    <row r="1013" spans="2:2" s="105" customFormat="1">
      <c r="B1013" s="107"/>
    </row>
    <row r="1014" spans="2:2" s="105" customFormat="1">
      <c r="B1014" s="107"/>
    </row>
    <row r="1015" spans="2:2" s="105" customFormat="1">
      <c r="B1015" s="107"/>
    </row>
    <row r="1016" spans="2:2" s="105" customFormat="1">
      <c r="B1016" s="107"/>
    </row>
    <row r="1017" spans="2:2" s="105" customFormat="1">
      <c r="B1017" s="107"/>
    </row>
    <row r="1018" spans="2:2" s="105" customFormat="1">
      <c r="B1018" s="107"/>
    </row>
    <row r="1019" spans="2:2" s="105" customFormat="1">
      <c r="B1019" s="107"/>
    </row>
    <row r="1020" spans="2:2" s="105" customFormat="1">
      <c r="B1020" s="107"/>
    </row>
    <row r="1021" spans="2:2" s="105" customFormat="1">
      <c r="B1021" s="107"/>
    </row>
    <row r="1022" spans="2:2" s="105" customFormat="1">
      <c r="B1022" s="107"/>
    </row>
    <row r="1023" spans="2:2" s="105" customFormat="1">
      <c r="B1023" s="107"/>
    </row>
    <row r="1024" spans="2:2" s="105" customFormat="1">
      <c r="B1024" s="107"/>
    </row>
    <row r="1025" spans="2:2" s="105" customFormat="1">
      <c r="B1025" s="107"/>
    </row>
    <row r="1026" spans="2:2" s="105" customFormat="1">
      <c r="B1026" s="107"/>
    </row>
    <row r="1027" spans="2:2" s="105" customFormat="1">
      <c r="B1027" s="107"/>
    </row>
    <row r="1028" spans="2:2" s="105" customFormat="1">
      <c r="B1028" s="107"/>
    </row>
    <row r="1029" spans="2:2" s="105" customFormat="1">
      <c r="B1029" s="107"/>
    </row>
    <row r="1030" spans="2:2" s="105" customFormat="1">
      <c r="B1030" s="107"/>
    </row>
    <row r="1031" spans="2:2" s="105" customFormat="1">
      <c r="B1031" s="107"/>
    </row>
    <row r="1032" spans="2:2" s="105" customFormat="1">
      <c r="B1032" s="107"/>
    </row>
    <row r="1033" spans="2:2" s="105" customFormat="1">
      <c r="B1033" s="107"/>
    </row>
    <row r="1034" spans="2:2" s="105" customFormat="1">
      <c r="B1034" s="107"/>
    </row>
    <row r="1035" spans="2:2" s="105" customFormat="1">
      <c r="B1035" s="107"/>
    </row>
    <row r="1036" spans="2:2" s="105" customFormat="1">
      <c r="B1036" s="107"/>
    </row>
    <row r="1037" spans="2:2" s="105" customFormat="1">
      <c r="B1037" s="107"/>
    </row>
    <row r="1038" spans="2:2" s="105" customFormat="1">
      <c r="B1038" s="107"/>
    </row>
    <row r="1039" spans="2:2" s="105" customFormat="1">
      <c r="B1039" s="107"/>
    </row>
    <row r="1040" spans="2:2" s="105" customFormat="1">
      <c r="B1040" s="107"/>
    </row>
    <row r="1041" spans="2:2" s="105" customFormat="1">
      <c r="B1041" s="107"/>
    </row>
    <row r="1042" spans="2:2" s="105" customFormat="1">
      <c r="B1042" s="107"/>
    </row>
    <row r="1043" spans="2:2" s="105" customFormat="1">
      <c r="B1043" s="107"/>
    </row>
    <row r="1044" spans="2:2" s="105" customFormat="1">
      <c r="B1044" s="107"/>
    </row>
    <row r="1045" spans="2:2" s="105" customFormat="1">
      <c r="B1045" s="107"/>
    </row>
    <row r="1046" spans="2:2" s="105" customFormat="1">
      <c r="B1046" s="107"/>
    </row>
    <row r="1047" spans="2:2" s="105" customFormat="1">
      <c r="B1047" s="107"/>
    </row>
    <row r="1048" spans="2:2" s="105" customFormat="1">
      <c r="B1048" s="107"/>
    </row>
    <row r="1049" spans="2:2" s="105" customFormat="1">
      <c r="B1049" s="107"/>
    </row>
    <row r="1050" spans="2:2" s="105" customFormat="1">
      <c r="B1050" s="107"/>
    </row>
    <row r="1051" spans="2:2" s="105" customFormat="1">
      <c r="B1051" s="107"/>
    </row>
    <row r="1052" spans="2:2" s="105" customFormat="1">
      <c r="B1052" s="107"/>
    </row>
    <row r="1053" spans="2:2" s="105" customFormat="1">
      <c r="B1053" s="107"/>
    </row>
    <row r="1054" spans="2:2" s="105" customFormat="1">
      <c r="B1054" s="107"/>
    </row>
    <row r="1055" spans="2:2" s="105" customFormat="1">
      <c r="B1055" s="107"/>
    </row>
    <row r="1056" spans="2:2" s="105" customFormat="1">
      <c r="B1056" s="107"/>
    </row>
    <row r="1057" spans="2:2" s="105" customFormat="1">
      <c r="B1057" s="107"/>
    </row>
    <row r="1058" spans="2:2" s="105" customFormat="1">
      <c r="B1058" s="107"/>
    </row>
    <row r="1059" spans="2:2" s="105" customFormat="1">
      <c r="B1059" s="107"/>
    </row>
    <row r="1060" spans="2:2" s="105" customFormat="1">
      <c r="B1060" s="107"/>
    </row>
    <row r="1061" spans="2:2" s="105" customFormat="1">
      <c r="B1061" s="107"/>
    </row>
    <row r="1062" spans="2:2" s="105" customFormat="1">
      <c r="B1062" s="107"/>
    </row>
    <row r="1063" spans="2:2" s="105" customFormat="1">
      <c r="B1063" s="107"/>
    </row>
    <row r="1064" spans="2:2" s="105" customFormat="1">
      <c r="B1064" s="107"/>
    </row>
    <row r="1065" spans="2:2" s="105" customFormat="1">
      <c r="B1065" s="107"/>
    </row>
    <row r="1066" spans="2:2" s="105" customFormat="1">
      <c r="B1066" s="107"/>
    </row>
    <row r="1067" spans="2:2" s="105" customFormat="1">
      <c r="B1067" s="107"/>
    </row>
    <row r="1068" spans="2:2" s="105" customFormat="1">
      <c r="B1068" s="107"/>
    </row>
    <row r="1069" spans="2:2" s="105" customFormat="1">
      <c r="B1069" s="107"/>
    </row>
    <row r="1070" spans="2:2" s="105" customFormat="1">
      <c r="B1070" s="107"/>
    </row>
    <row r="1071" spans="2:2" s="105" customFormat="1">
      <c r="B1071" s="107"/>
    </row>
    <row r="1072" spans="2:2" s="105" customFormat="1">
      <c r="B1072" s="107"/>
    </row>
    <row r="1073" spans="2:2" s="105" customFormat="1">
      <c r="B1073" s="107"/>
    </row>
    <row r="1074" spans="2:2" s="105" customFormat="1">
      <c r="B1074" s="107"/>
    </row>
    <row r="1075" spans="2:2" s="105" customFormat="1">
      <c r="B1075" s="107"/>
    </row>
    <row r="1076" spans="2:2" s="105" customFormat="1">
      <c r="B1076" s="107"/>
    </row>
    <row r="1077" spans="2:2" s="105" customFormat="1">
      <c r="B1077" s="107"/>
    </row>
    <row r="1078" spans="2:2" s="105" customFormat="1">
      <c r="B1078" s="107"/>
    </row>
    <row r="1079" spans="2:2" s="105" customFormat="1">
      <c r="B1079" s="107"/>
    </row>
    <row r="1080" spans="2:2" s="105" customFormat="1">
      <c r="B1080" s="107"/>
    </row>
    <row r="1081" spans="2:2" s="105" customFormat="1">
      <c r="B1081" s="107"/>
    </row>
    <row r="1082" spans="2:2" s="105" customFormat="1">
      <c r="B1082" s="107"/>
    </row>
    <row r="1083" spans="2:2" s="105" customFormat="1">
      <c r="B1083" s="107"/>
    </row>
    <row r="1084" spans="2:2" s="105" customFormat="1">
      <c r="B1084" s="107"/>
    </row>
    <row r="1085" spans="2:2" s="105" customFormat="1">
      <c r="B1085" s="107"/>
    </row>
    <row r="1086" spans="2:2" s="105" customFormat="1">
      <c r="B1086" s="107"/>
    </row>
    <row r="1087" spans="2:2" s="105" customFormat="1">
      <c r="B1087" s="107"/>
    </row>
    <row r="1088" spans="2:2" s="105" customFormat="1">
      <c r="B1088" s="107"/>
    </row>
    <row r="1089" spans="2:2" s="105" customFormat="1">
      <c r="B1089" s="107"/>
    </row>
    <row r="1090" spans="2:2" s="105" customFormat="1">
      <c r="B1090" s="107"/>
    </row>
    <row r="1091" spans="2:2" s="105" customFormat="1">
      <c r="B1091" s="107"/>
    </row>
    <row r="1092" spans="2:2" s="105" customFormat="1">
      <c r="B1092" s="107"/>
    </row>
    <row r="1093" spans="2:2" s="105" customFormat="1">
      <c r="B1093" s="107"/>
    </row>
    <row r="1094" spans="2:2" s="105" customFormat="1">
      <c r="B1094" s="107"/>
    </row>
    <row r="1095" spans="2:2" s="105" customFormat="1">
      <c r="B1095" s="107"/>
    </row>
    <row r="1096" spans="2:2" s="105" customFormat="1">
      <c r="B1096" s="107"/>
    </row>
    <row r="1097" spans="2:2" s="105" customFormat="1">
      <c r="B1097" s="107"/>
    </row>
    <row r="1098" spans="2:2" s="105" customFormat="1">
      <c r="B1098" s="107"/>
    </row>
    <row r="1099" spans="2:2" s="105" customFormat="1">
      <c r="B1099" s="107"/>
    </row>
    <row r="1100" spans="2:2" s="105" customFormat="1">
      <c r="B1100" s="107"/>
    </row>
    <row r="1101" spans="2:2" s="105" customFormat="1">
      <c r="B1101" s="107"/>
    </row>
    <row r="1102" spans="2:2" s="105" customFormat="1">
      <c r="B1102" s="107"/>
    </row>
    <row r="1103" spans="2:2" s="105" customFormat="1">
      <c r="B1103" s="107"/>
    </row>
    <row r="1104" spans="2:2" s="105" customFormat="1">
      <c r="B1104" s="107"/>
    </row>
    <row r="1105" spans="2:2" s="105" customFormat="1">
      <c r="B1105" s="107"/>
    </row>
    <row r="1106" spans="2:2" s="105" customFormat="1">
      <c r="B1106" s="107"/>
    </row>
    <row r="1107" spans="2:2" s="105" customFormat="1">
      <c r="B1107" s="107"/>
    </row>
    <row r="1108" spans="2:2" s="105" customFormat="1">
      <c r="B1108" s="107"/>
    </row>
    <row r="1109" spans="2:2" s="105" customFormat="1">
      <c r="B1109" s="107"/>
    </row>
    <row r="1110" spans="2:2" s="105" customFormat="1">
      <c r="B1110" s="107"/>
    </row>
    <row r="1111" spans="2:2" s="105" customFormat="1">
      <c r="B1111" s="107"/>
    </row>
    <row r="1112" spans="2:2" s="105" customFormat="1">
      <c r="B1112" s="107"/>
    </row>
    <row r="1113" spans="2:2" s="105" customFormat="1">
      <c r="B1113" s="107"/>
    </row>
    <row r="1114" spans="2:2" s="105" customFormat="1">
      <c r="B1114" s="107"/>
    </row>
    <row r="1115" spans="2:2" s="105" customFormat="1">
      <c r="B1115" s="107"/>
    </row>
    <row r="1116" spans="2:2" s="105" customFormat="1">
      <c r="B1116" s="107"/>
    </row>
    <row r="1117" spans="2:2" s="105" customFormat="1">
      <c r="B1117" s="107"/>
    </row>
    <row r="1118" spans="2:2" s="105" customFormat="1">
      <c r="B1118" s="107"/>
    </row>
    <row r="1119" spans="2:2" s="105" customFormat="1">
      <c r="B1119" s="107"/>
    </row>
    <row r="1120" spans="2:2" s="105" customFormat="1">
      <c r="B1120" s="107"/>
    </row>
    <row r="1121" spans="2:2" s="105" customFormat="1">
      <c r="B1121" s="107"/>
    </row>
    <row r="1122" spans="2:2" s="105" customFormat="1">
      <c r="B1122" s="107"/>
    </row>
    <row r="1123" spans="2:2" s="105" customFormat="1">
      <c r="B1123" s="107"/>
    </row>
    <row r="1124" spans="2:2" s="105" customFormat="1">
      <c r="B1124" s="107"/>
    </row>
    <row r="1125" spans="2:2" s="105" customFormat="1">
      <c r="B1125" s="107"/>
    </row>
    <row r="1126" spans="2:2" s="105" customFormat="1">
      <c r="B1126" s="107"/>
    </row>
    <row r="1127" spans="2:2" s="105" customFormat="1">
      <c r="B1127" s="107"/>
    </row>
    <row r="1128" spans="2:2" s="105" customFormat="1">
      <c r="B1128" s="107"/>
    </row>
    <row r="1129" spans="2:2" s="105" customFormat="1">
      <c r="B1129" s="107"/>
    </row>
    <row r="1130" spans="2:2" s="105" customFormat="1">
      <c r="B1130" s="107"/>
    </row>
    <row r="1131" spans="2:2" s="105" customFormat="1">
      <c r="B1131" s="107"/>
    </row>
    <row r="1132" spans="2:2" s="105" customFormat="1">
      <c r="B1132" s="107"/>
    </row>
    <row r="1133" spans="2:2" s="105" customFormat="1">
      <c r="B1133" s="107"/>
    </row>
    <row r="1134" spans="2:2" s="105" customFormat="1">
      <c r="B1134" s="107"/>
    </row>
    <row r="1135" spans="2:2" s="105" customFormat="1">
      <c r="B1135" s="107"/>
    </row>
    <row r="1136" spans="2:2" s="105" customFormat="1">
      <c r="B1136" s="107"/>
    </row>
    <row r="1137" spans="2:2" s="105" customFormat="1">
      <c r="B1137" s="107"/>
    </row>
    <row r="1138" spans="2:2" s="105" customFormat="1">
      <c r="B1138" s="107"/>
    </row>
    <row r="1139" spans="2:2" s="105" customFormat="1">
      <c r="B1139" s="107"/>
    </row>
    <row r="1140" spans="2:2" s="105" customFormat="1">
      <c r="B1140" s="107"/>
    </row>
    <row r="1141" spans="2:2" s="105" customFormat="1">
      <c r="B1141" s="107"/>
    </row>
    <row r="1142" spans="2:2" s="105" customFormat="1">
      <c r="B1142" s="107"/>
    </row>
    <row r="1143" spans="2:2" s="105" customFormat="1">
      <c r="B1143" s="107"/>
    </row>
    <row r="1144" spans="2:2" s="105" customFormat="1">
      <c r="B1144" s="107"/>
    </row>
    <row r="1145" spans="2:2" s="105" customFormat="1">
      <c r="B1145" s="107"/>
    </row>
    <row r="1146" spans="2:2" s="105" customFormat="1">
      <c r="B1146" s="107"/>
    </row>
    <row r="1147" spans="2:2" s="105" customFormat="1">
      <c r="B1147" s="107"/>
    </row>
    <row r="1148" spans="2:2" s="105" customFormat="1">
      <c r="B1148" s="107"/>
    </row>
    <row r="1149" spans="2:2" s="105" customFormat="1">
      <c r="B1149" s="107"/>
    </row>
    <row r="1150" spans="2:2" s="105" customFormat="1">
      <c r="B1150" s="107"/>
    </row>
    <row r="1151" spans="2:2" s="105" customFormat="1">
      <c r="B1151" s="107"/>
    </row>
    <row r="1152" spans="2:2" s="105" customFormat="1">
      <c r="B1152" s="107"/>
    </row>
    <row r="1153" spans="2:2" s="105" customFormat="1">
      <c r="B1153" s="107"/>
    </row>
    <row r="1154" spans="2:2" s="105" customFormat="1">
      <c r="B1154" s="107"/>
    </row>
    <row r="1155" spans="2:2" s="105" customFormat="1">
      <c r="B1155" s="107"/>
    </row>
    <row r="1156" spans="2:2" s="105" customFormat="1">
      <c r="B1156" s="107"/>
    </row>
    <row r="1157" spans="2:2" s="105" customFormat="1">
      <c r="B1157" s="107"/>
    </row>
    <row r="1158" spans="2:2" s="105" customFormat="1">
      <c r="B1158" s="107"/>
    </row>
    <row r="1159" spans="2:2" s="105" customFormat="1">
      <c r="B1159" s="107"/>
    </row>
    <row r="1160" spans="2:2" s="105" customFormat="1">
      <c r="B1160" s="107"/>
    </row>
    <row r="1161" spans="2:2" s="105" customFormat="1">
      <c r="B1161" s="107"/>
    </row>
    <row r="1162" spans="2:2" s="105" customFormat="1">
      <c r="B1162" s="107"/>
    </row>
    <row r="1163" spans="2:2" s="105" customFormat="1">
      <c r="B1163" s="107"/>
    </row>
    <row r="1164" spans="2:2" s="105" customFormat="1">
      <c r="B1164" s="107"/>
    </row>
    <row r="1165" spans="2:2" s="105" customFormat="1">
      <c r="B1165" s="107"/>
    </row>
    <row r="1166" spans="2:2" s="105" customFormat="1">
      <c r="B1166" s="107"/>
    </row>
    <row r="1167" spans="2:2" s="105" customFormat="1">
      <c r="B1167" s="107"/>
    </row>
    <row r="1168" spans="2:2" s="105" customFormat="1">
      <c r="B1168" s="107"/>
    </row>
    <row r="1169" spans="2:2" s="105" customFormat="1">
      <c r="B1169" s="107"/>
    </row>
    <row r="1170" spans="2:2" s="105" customFormat="1">
      <c r="B1170" s="107"/>
    </row>
    <row r="1171" spans="2:2" s="105" customFormat="1">
      <c r="B1171" s="107"/>
    </row>
    <row r="1172" spans="2:2" s="105" customFormat="1">
      <c r="B1172" s="107"/>
    </row>
    <row r="1173" spans="2:2" s="105" customFormat="1">
      <c r="B1173" s="107"/>
    </row>
    <row r="1174" spans="2:2" s="105" customFormat="1">
      <c r="B1174" s="107"/>
    </row>
    <row r="1175" spans="2:2" s="105" customFormat="1">
      <c r="B1175" s="107"/>
    </row>
    <row r="1176" spans="2:2" s="105" customFormat="1">
      <c r="B1176" s="107"/>
    </row>
    <row r="1177" spans="2:2" s="105" customFormat="1">
      <c r="B1177" s="107"/>
    </row>
    <row r="1178" spans="2:2" s="105" customFormat="1">
      <c r="B1178" s="107"/>
    </row>
    <row r="1179" spans="2:2" s="105" customFormat="1">
      <c r="B1179" s="107"/>
    </row>
    <row r="1180" spans="2:2" s="105" customFormat="1">
      <c r="B1180" s="107"/>
    </row>
    <row r="1181" spans="2:2" s="105" customFormat="1">
      <c r="B1181" s="107"/>
    </row>
    <row r="1182" spans="2:2" s="105" customFormat="1">
      <c r="B1182" s="107"/>
    </row>
    <row r="1183" spans="2:2" s="105" customFormat="1">
      <c r="B1183" s="107"/>
    </row>
    <row r="1184" spans="2:2" s="105" customFormat="1">
      <c r="B1184" s="107"/>
    </row>
    <row r="1185" spans="2:2" s="105" customFormat="1">
      <c r="B1185" s="107"/>
    </row>
    <row r="1186" spans="2:2" s="105" customFormat="1">
      <c r="B1186" s="107"/>
    </row>
    <row r="1187" spans="2:2" s="105" customFormat="1">
      <c r="B1187" s="107"/>
    </row>
    <row r="1188" spans="2:2" s="105" customFormat="1">
      <c r="B1188" s="107"/>
    </row>
    <row r="1189" spans="2:2" s="105" customFormat="1">
      <c r="B1189" s="107"/>
    </row>
    <row r="1190" spans="2:2" s="105" customFormat="1">
      <c r="B1190" s="107"/>
    </row>
    <row r="1191" spans="2:2" s="105" customFormat="1">
      <c r="B1191" s="107"/>
    </row>
    <row r="1192" spans="2:2" s="105" customFormat="1">
      <c r="B1192" s="107"/>
    </row>
    <row r="1193" spans="2:2" s="105" customFormat="1">
      <c r="B1193" s="107"/>
    </row>
    <row r="1194" spans="2:2" s="105" customFormat="1">
      <c r="B1194" s="107"/>
    </row>
    <row r="1195" spans="2:2" s="105" customFormat="1">
      <c r="B1195" s="107"/>
    </row>
    <row r="1196" spans="2:2" s="105" customFormat="1">
      <c r="B1196" s="107"/>
    </row>
    <row r="1197" spans="2:2" s="105" customFormat="1">
      <c r="B1197" s="107"/>
    </row>
    <row r="1198" spans="2:2" s="105" customFormat="1">
      <c r="B1198" s="107"/>
    </row>
    <row r="1199" spans="2:2" s="105" customFormat="1">
      <c r="B1199" s="107"/>
    </row>
    <row r="1200" spans="2:2" s="105" customFormat="1">
      <c r="B1200" s="107"/>
    </row>
    <row r="1201" spans="2:2" s="105" customFormat="1">
      <c r="B1201" s="107"/>
    </row>
    <row r="1202" spans="2:2" s="105" customFormat="1">
      <c r="B1202" s="107"/>
    </row>
    <row r="1203" spans="2:2" s="105" customFormat="1">
      <c r="B1203" s="107"/>
    </row>
    <row r="1204" spans="2:2" s="105" customFormat="1">
      <c r="B1204" s="107"/>
    </row>
    <row r="1205" spans="2:2" s="105" customFormat="1">
      <c r="B1205" s="107"/>
    </row>
    <row r="1206" spans="2:2" s="105" customFormat="1">
      <c r="B1206" s="107"/>
    </row>
    <row r="1207" spans="2:2" s="105" customFormat="1">
      <c r="B1207" s="107"/>
    </row>
    <row r="1208" spans="2:2" s="105" customFormat="1">
      <c r="B1208" s="107"/>
    </row>
    <row r="1209" spans="2:2" s="105" customFormat="1">
      <c r="B1209" s="107"/>
    </row>
    <row r="1210" spans="2:2" s="105" customFormat="1">
      <c r="B1210" s="107"/>
    </row>
    <row r="1211" spans="2:2" s="105" customFormat="1">
      <c r="B1211" s="107"/>
    </row>
    <row r="1212" spans="2:2" s="105" customFormat="1">
      <c r="B1212" s="107"/>
    </row>
    <row r="1213" spans="2:2" s="105" customFormat="1">
      <c r="B1213" s="107"/>
    </row>
    <row r="1214" spans="2:2" s="105" customFormat="1">
      <c r="B1214" s="107"/>
    </row>
    <row r="1215" spans="2:2" s="105" customFormat="1">
      <c r="B1215" s="107"/>
    </row>
    <row r="1216" spans="2:2" s="105" customFormat="1">
      <c r="B1216" s="107"/>
    </row>
    <row r="1217" spans="2:12" s="105" customFormat="1">
      <c r="B1217" s="107"/>
    </row>
    <row r="1218" spans="2:12" s="105" customFormat="1">
      <c r="B1218" s="106"/>
      <c r="C1218" s="104"/>
      <c r="D1218" s="104"/>
      <c r="E1218" s="104"/>
      <c r="F1218" s="104"/>
      <c r="G1218" s="104"/>
      <c r="H1218" s="104"/>
      <c r="K1218" s="104"/>
      <c r="L1218" s="104"/>
    </row>
  </sheetData>
  <mergeCells count="13">
    <mergeCell ref="B20:I21"/>
    <mergeCell ref="D23:E24"/>
    <mergeCell ref="I48:J48"/>
    <mergeCell ref="I51:J51"/>
    <mergeCell ref="I120:J120"/>
    <mergeCell ref="I123:J123"/>
    <mergeCell ref="D331:L332"/>
    <mergeCell ref="G223:H223"/>
    <mergeCell ref="G242:H242"/>
    <mergeCell ref="D275:J276"/>
    <mergeCell ref="D302:J302"/>
    <mergeCell ref="D304:J305"/>
    <mergeCell ref="D326:L327"/>
  </mergeCells>
  <printOptions horizontalCentered="1"/>
  <pageMargins left="0.25" right="0.25" top="1" bottom="1" header="0.65" footer="0.25"/>
  <pageSetup fitToHeight="0" orientation="portrait" horizontalDpi="1200" verticalDpi="1200" r:id="rId1"/>
  <headerFooter alignWithMargins="0">
    <oddHeader xml:space="preserve">&amp;R&amp;16AEPTCo - SPP Formula Rate
&amp;A - True-Up
Page: &amp;P of &amp;N
</oddHeader>
    <oddFooter>&amp;R &amp;C&amp;"Calibri,Regular"&amp;11&amp;B&amp;K000000AEP CONFIDENTIAL</oddFooter>
    <evenFooter>&amp;C&amp;"Calibri,Regular"&amp;11&amp;B&amp;K000000AEP CONFIDENTIAL</evenFooter>
    <firstFooter>&amp;C&amp;"Calibri,Regular"&amp;11&amp;B&amp;K000000AEP CONFIDENTIAL</firstFooter>
  </headerFooter>
  <rowBreaks count="4" manualBreakCount="4">
    <brk id="39" max="11" man="1"/>
    <brk id="112" max="11" man="1"/>
    <brk id="184" max="11" man="1"/>
    <brk id="249"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1218"/>
  <sheetViews>
    <sheetView zoomScale="70" zoomScaleNormal="70" zoomScaleSheetLayoutView="75" workbookViewId="0">
      <selection activeCell="G39" sqref="G39"/>
    </sheetView>
  </sheetViews>
  <sheetFormatPr defaultColWidth="11.42578125" defaultRowHeight="15"/>
  <cols>
    <col min="1" max="1" width="4.5703125" style="104" customWidth="1"/>
    <col min="2" max="2" width="7.85546875" style="106" customWidth="1"/>
    <col min="3" max="3" width="1.85546875" style="104" customWidth="1"/>
    <col min="4" max="4" width="56" style="104" customWidth="1"/>
    <col min="5" max="5" width="37.42578125" style="104" customWidth="1"/>
    <col min="6" max="6" width="26.140625" style="104" customWidth="1"/>
    <col min="7" max="7" width="20.5703125" style="104" customWidth="1"/>
    <col min="8" max="8" width="18.85546875" style="104" customWidth="1"/>
    <col min="9" max="9" width="9.85546875" style="104" customWidth="1"/>
    <col min="10" max="10" width="21.85546875" style="104" bestFit="1" customWidth="1"/>
    <col min="11" max="11" width="4.5703125" style="104" customWidth="1"/>
    <col min="12" max="12" width="21.140625" style="104" customWidth="1"/>
    <col min="13" max="13" width="19.42578125" style="105" customWidth="1"/>
    <col min="14" max="14" width="28.85546875" style="104" bestFit="1" customWidth="1"/>
    <col min="15" max="15" width="3.140625" style="104" customWidth="1"/>
    <col min="16" max="16" width="21.85546875" style="104" customWidth="1"/>
    <col min="17" max="17" width="11.42578125" style="104" customWidth="1"/>
    <col min="18" max="18" width="20.5703125" style="104" bestFit="1" customWidth="1"/>
    <col min="19" max="256" width="11.42578125" style="104"/>
    <col min="257" max="257" width="4.5703125" style="104" customWidth="1"/>
    <col min="258" max="258" width="7.85546875" style="104" customWidth="1"/>
    <col min="259" max="259" width="1.85546875" style="104" customWidth="1"/>
    <col min="260" max="260" width="56" style="104" customWidth="1"/>
    <col min="261" max="261" width="37.42578125" style="104" customWidth="1"/>
    <col min="262" max="262" width="26.140625" style="104" customWidth="1"/>
    <col min="263" max="263" width="20.5703125" style="104" customWidth="1"/>
    <col min="264" max="264" width="18.85546875" style="104" customWidth="1"/>
    <col min="265" max="265" width="9.85546875" style="104" customWidth="1"/>
    <col min="266" max="266" width="21.85546875" style="104" bestFit="1" customWidth="1"/>
    <col min="267" max="267" width="4.5703125" style="104" customWidth="1"/>
    <col min="268" max="268" width="21.140625" style="104" customWidth="1"/>
    <col min="269" max="269" width="19.42578125" style="104" customWidth="1"/>
    <col min="270" max="270" width="28.85546875" style="104" bestFit="1" customWidth="1"/>
    <col min="271" max="271" width="3.140625" style="104" customWidth="1"/>
    <col min="272" max="272" width="21.85546875" style="104" customWidth="1"/>
    <col min="273" max="273" width="11.42578125" style="104" customWidth="1"/>
    <col min="274" max="274" width="20.5703125" style="104" bestFit="1" customWidth="1"/>
    <col min="275" max="512" width="11.42578125" style="104"/>
    <col min="513" max="513" width="4.5703125" style="104" customWidth="1"/>
    <col min="514" max="514" width="7.85546875" style="104" customWidth="1"/>
    <col min="515" max="515" width="1.85546875" style="104" customWidth="1"/>
    <col min="516" max="516" width="56" style="104" customWidth="1"/>
    <col min="517" max="517" width="37.42578125" style="104" customWidth="1"/>
    <col min="518" max="518" width="26.140625" style="104" customWidth="1"/>
    <col min="519" max="519" width="20.5703125" style="104" customWidth="1"/>
    <col min="520" max="520" width="18.85546875" style="104" customWidth="1"/>
    <col min="521" max="521" width="9.85546875" style="104" customWidth="1"/>
    <col min="522" max="522" width="21.85546875" style="104" bestFit="1" customWidth="1"/>
    <col min="523" max="523" width="4.5703125" style="104" customWidth="1"/>
    <col min="524" max="524" width="21.140625" style="104" customWidth="1"/>
    <col min="525" max="525" width="19.42578125" style="104" customWidth="1"/>
    <col min="526" max="526" width="28.85546875" style="104" bestFit="1" customWidth="1"/>
    <col min="527" max="527" width="3.140625" style="104" customWidth="1"/>
    <col min="528" max="528" width="21.85546875" style="104" customWidth="1"/>
    <col min="529" max="529" width="11.42578125" style="104" customWidth="1"/>
    <col min="530" max="530" width="20.5703125" style="104" bestFit="1" customWidth="1"/>
    <col min="531" max="768" width="11.42578125" style="104"/>
    <col min="769" max="769" width="4.5703125" style="104" customWidth="1"/>
    <col min="770" max="770" width="7.85546875" style="104" customWidth="1"/>
    <col min="771" max="771" width="1.85546875" style="104" customWidth="1"/>
    <col min="772" max="772" width="56" style="104" customWidth="1"/>
    <col min="773" max="773" width="37.42578125" style="104" customWidth="1"/>
    <col min="774" max="774" width="26.140625" style="104" customWidth="1"/>
    <col min="775" max="775" width="20.5703125" style="104" customWidth="1"/>
    <col min="776" max="776" width="18.85546875" style="104" customWidth="1"/>
    <col min="777" max="777" width="9.85546875" style="104" customWidth="1"/>
    <col min="778" max="778" width="21.85546875" style="104" bestFit="1" customWidth="1"/>
    <col min="779" max="779" width="4.5703125" style="104" customWidth="1"/>
    <col min="780" max="780" width="21.140625" style="104" customWidth="1"/>
    <col min="781" max="781" width="19.42578125" style="104" customWidth="1"/>
    <col min="782" max="782" width="28.85546875" style="104" bestFit="1" customWidth="1"/>
    <col min="783" max="783" width="3.140625" style="104" customWidth="1"/>
    <col min="784" max="784" width="21.85546875" style="104" customWidth="1"/>
    <col min="785" max="785" width="11.42578125" style="104" customWidth="1"/>
    <col min="786" max="786" width="20.5703125" style="104" bestFit="1" customWidth="1"/>
    <col min="787" max="1024" width="11.42578125" style="104"/>
    <col min="1025" max="1025" width="4.5703125" style="104" customWidth="1"/>
    <col min="1026" max="1026" width="7.85546875" style="104" customWidth="1"/>
    <col min="1027" max="1027" width="1.85546875" style="104" customWidth="1"/>
    <col min="1028" max="1028" width="56" style="104" customWidth="1"/>
    <col min="1029" max="1029" width="37.42578125" style="104" customWidth="1"/>
    <col min="1030" max="1030" width="26.140625" style="104" customWidth="1"/>
    <col min="1031" max="1031" width="20.5703125" style="104" customWidth="1"/>
    <col min="1032" max="1032" width="18.85546875" style="104" customWidth="1"/>
    <col min="1033" max="1033" width="9.85546875" style="104" customWidth="1"/>
    <col min="1034" max="1034" width="21.85546875" style="104" bestFit="1" customWidth="1"/>
    <col min="1035" max="1035" width="4.5703125" style="104" customWidth="1"/>
    <col min="1036" max="1036" width="21.140625" style="104" customWidth="1"/>
    <col min="1037" max="1037" width="19.42578125" style="104" customWidth="1"/>
    <col min="1038" max="1038" width="28.85546875" style="104" bestFit="1" customWidth="1"/>
    <col min="1039" max="1039" width="3.140625" style="104" customWidth="1"/>
    <col min="1040" max="1040" width="21.85546875" style="104" customWidth="1"/>
    <col min="1041" max="1041" width="11.42578125" style="104" customWidth="1"/>
    <col min="1042" max="1042" width="20.5703125" style="104" bestFit="1" customWidth="1"/>
    <col min="1043" max="1280" width="11.42578125" style="104"/>
    <col min="1281" max="1281" width="4.5703125" style="104" customWidth="1"/>
    <col min="1282" max="1282" width="7.85546875" style="104" customWidth="1"/>
    <col min="1283" max="1283" width="1.85546875" style="104" customWidth="1"/>
    <col min="1284" max="1284" width="56" style="104" customWidth="1"/>
    <col min="1285" max="1285" width="37.42578125" style="104" customWidth="1"/>
    <col min="1286" max="1286" width="26.140625" style="104" customWidth="1"/>
    <col min="1287" max="1287" width="20.5703125" style="104" customWidth="1"/>
    <col min="1288" max="1288" width="18.85546875" style="104" customWidth="1"/>
    <col min="1289" max="1289" width="9.85546875" style="104" customWidth="1"/>
    <col min="1290" max="1290" width="21.85546875" style="104" bestFit="1" customWidth="1"/>
    <col min="1291" max="1291" width="4.5703125" style="104" customWidth="1"/>
    <col min="1292" max="1292" width="21.140625" style="104" customWidth="1"/>
    <col min="1293" max="1293" width="19.42578125" style="104" customWidth="1"/>
    <col min="1294" max="1294" width="28.85546875" style="104" bestFit="1" customWidth="1"/>
    <col min="1295" max="1295" width="3.140625" style="104" customWidth="1"/>
    <col min="1296" max="1296" width="21.85546875" style="104" customWidth="1"/>
    <col min="1297" max="1297" width="11.42578125" style="104" customWidth="1"/>
    <col min="1298" max="1298" width="20.5703125" style="104" bestFit="1" customWidth="1"/>
    <col min="1299" max="1536" width="11.42578125" style="104"/>
    <col min="1537" max="1537" width="4.5703125" style="104" customWidth="1"/>
    <col min="1538" max="1538" width="7.85546875" style="104" customWidth="1"/>
    <col min="1539" max="1539" width="1.85546875" style="104" customWidth="1"/>
    <col min="1540" max="1540" width="56" style="104" customWidth="1"/>
    <col min="1541" max="1541" width="37.42578125" style="104" customWidth="1"/>
    <col min="1542" max="1542" width="26.140625" style="104" customWidth="1"/>
    <col min="1543" max="1543" width="20.5703125" style="104" customWidth="1"/>
    <col min="1544" max="1544" width="18.85546875" style="104" customWidth="1"/>
    <col min="1545" max="1545" width="9.85546875" style="104" customWidth="1"/>
    <col min="1546" max="1546" width="21.85546875" style="104" bestFit="1" customWidth="1"/>
    <col min="1547" max="1547" width="4.5703125" style="104" customWidth="1"/>
    <col min="1548" max="1548" width="21.140625" style="104" customWidth="1"/>
    <col min="1549" max="1549" width="19.42578125" style="104" customWidth="1"/>
    <col min="1550" max="1550" width="28.85546875" style="104" bestFit="1" customWidth="1"/>
    <col min="1551" max="1551" width="3.140625" style="104" customWidth="1"/>
    <col min="1552" max="1552" width="21.85546875" style="104" customWidth="1"/>
    <col min="1553" max="1553" width="11.42578125" style="104" customWidth="1"/>
    <col min="1554" max="1554" width="20.5703125" style="104" bestFit="1" customWidth="1"/>
    <col min="1555" max="1792" width="11.42578125" style="104"/>
    <col min="1793" max="1793" width="4.5703125" style="104" customWidth="1"/>
    <col min="1794" max="1794" width="7.85546875" style="104" customWidth="1"/>
    <col min="1795" max="1795" width="1.85546875" style="104" customWidth="1"/>
    <col min="1796" max="1796" width="56" style="104" customWidth="1"/>
    <col min="1797" max="1797" width="37.42578125" style="104" customWidth="1"/>
    <col min="1798" max="1798" width="26.140625" style="104" customWidth="1"/>
    <col min="1799" max="1799" width="20.5703125" style="104" customWidth="1"/>
    <col min="1800" max="1800" width="18.85546875" style="104" customWidth="1"/>
    <col min="1801" max="1801" width="9.85546875" style="104" customWidth="1"/>
    <col min="1802" max="1802" width="21.85546875" style="104" bestFit="1" customWidth="1"/>
    <col min="1803" max="1803" width="4.5703125" style="104" customWidth="1"/>
    <col min="1804" max="1804" width="21.140625" style="104" customWidth="1"/>
    <col min="1805" max="1805" width="19.42578125" style="104" customWidth="1"/>
    <col min="1806" max="1806" width="28.85546875" style="104" bestFit="1" customWidth="1"/>
    <col min="1807" max="1807" width="3.140625" style="104" customWidth="1"/>
    <col min="1808" max="1808" width="21.85546875" style="104" customWidth="1"/>
    <col min="1809" max="1809" width="11.42578125" style="104" customWidth="1"/>
    <col min="1810" max="1810" width="20.5703125" style="104" bestFit="1" customWidth="1"/>
    <col min="1811" max="2048" width="11.42578125" style="104"/>
    <col min="2049" max="2049" width="4.5703125" style="104" customWidth="1"/>
    <col min="2050" max="2050" width="7.85546875" style="104" customWidth="1"/>
    <col min="2051" max="2051" width="1.85546875" style="104" customWidth="1"/>
    <col min="2052" max="2052" width="56" style="104" customWidth="1"/>
    <col min="2053" max="2053" width="37.42578125" style="104" customWidth="1"/>
    <col min="2054" max="2054" width="26.140625" style="104" customWidth="1"/>
    <col min="2055" max="2055" width="20.5703125" style="104" customWidth="1"/>
    <col min="2056" max="2056" width="18.85546875" style="104" customWidth="1"/>
    <col min="2057" max="2057" width="9.85546875" style="104" customWidth="1"/>
    <col min="2058" max="2058" width="21.85546875" style="104" bestFit="1" customWidth="1"/>
    <col min="2059" max="2059" width="4.5703125" style="104" customWidth="1"/>
    <col min="2060" max="2060" width="21.140625" style="104" customWidth="1"/>
    <col min="2061" max="2061" width="19.42578125" style="104" customWidth="1"/>
    <col min="2062" max="2062" width="28.85546875" style="104" bestFit="1" customWidth="1"/>
    <col min="2063" max="2063" width="3.140625" style="104" customWidth="1"/>
    <col min="2064" max="2064" width="21.85546875" style="104" customWidth="1"/>
    <col min="2065" max="2065" width="11.42578125" style="104" customWidth="1"/>
    <col min="2066" max="2066" width="20.5703125" style="104" bestFit="1" customWidth="1"/>
    <col min="2067" max="2304" width="11.42578125" style="104"/>
    <col min="2305" max="2305" width="4.5703125" style="104" customWidth="1"/>
    <col min="2306" max="2306" width="7.85546875" style="104" customWidth="1"/>
    <col min="2307" max="2307" width="1.85546875" style="104" customWidth="1"/>
    <col min="2308" max="2308" width="56" style="104" customWidth="1"/>
    <col min="2309" max="2309" width="37.42578125" style="104" customWidth="1"/>
    <col min="2310" max="2310" width="26.140625" style="104" customWidth="1"/>
    <col min="2311" max="2311" width="20.5703125" style="104" customWidth="1"/>
    <col min="2312" max="2312" width="18.85546875" style="104" customWidth="1"/>
    <col min="2313" max="2313" width="9.85546875" style="104" customWidth="1"/>
    <col min="2314" max="2314" width="21.85546875" style="104" bestFit="1" customWidth="1"/>
    <col min="2315" max="2315" width="4.5703125" style="104" customWidth="1"/>
    <col min="2316" max="2316" width="21.140625" style="104" customWidth="1"/>
    <col min="2317" max="2317" width="19.42578125" style="104" customWidth="1"/>
    <col min="2318" max="2318" width="28.85546875" style="104" bestFit="1" customWidth="1"/>
    <col min="2319" max="2319" width="3.140625" style="104" customWidth="1"/>
    <col min="2320" max="2320" width="21.85546875" style="104" customWidth="1"/>
    <col min="2321" max="2321" width="11.42578125" style="104" customWidth="1"/>
    <col min="2322" max="2322" width="20.5703125" style="104" bestFit="1" customWidth="1"/>
    <col min="2323" max="2560" width="11.42578125" style="104"/>
    <col min="2561" max="2561" width="4.5703125" style="104" customWidth="1"/>
    <col min="2562" max="2562" width="7.85546875" style="104" customWidth="1"/>
    <col min="2563" max="2563" width="1.85546875" style="104" customWidth="1"/>
    <col min="2564" max="2564" width="56" style="104" customWidth="1"/>
    <col min="2565" max="2565" width="37.42578125" style="104" customWidth="1"/>
    <col min="2566" max="2566" width="26.140625" style="104" customWidth="1"/>
    <col min="2567" max="2567" width="20.5703125" style="104" customWidth="1"/>
    <col min="2568" max="2568" width="18.85546875" style="104" customWidth="1"/>
    <col min="2569" max="2569" width="9.85546875" style="104" customWidth="1"/>
    <col min="2570" max="2570" width="21.85546875" style="104" bestFit="1" customWidth="1"/>
    <col min="2571" max="2571" width="4.5703125" style="104" customWidth="1"/>
    <col min="2572" max="2572" width="21.140625" style="104" customWidth="1"/>
    <col min="2573" max="2573" width="19.42578125" style="104" customWidth="1"/>
    <col min="2574" max="2574" width="28.85546875" style="104" bestFit="1" customWidth="1"/>
    <col min="2575" max="2575" width="3.140625" style="104" customWidth="1"/>
    <col min="2576" max="2576" width="21.85546875" style="104" customWidth="1"/>
    <col min="2577" max="2577" width="11.42578125" style="104" customWidth="1"/>
    <col min="2578" max="2578" width="20.5703125" style="104" bestFit="1" customWidth="1"/>
    <col min="2579" max="2816" width="11.42578125" style="104"/>
    <col min="2817" max="2817" width="4.5703125" style="104" customWidth="1"/>
    <col min="2818" max="2818" width="7.85546875" style="104" customWidth="1"/>
    <col min="2819" max="2819" width="1.85546875" style="104" customWidth="1"/>
    <col min="2820" max="2820" width="56" style="104" customWidth="1"/>
    <col min="2821" max="2821" width="37.42578125" style="104" customWidth="1"/>
    <col min="2822" max="2822" width="26.140625" style="104" customWidth="1"/>
    <col min="2823" max="2823" width="20.5703125" style="104" customWidth="1"/>
    <col min="2824" max="2824" width="18.85546875" style="104" customWidth="1"/>
    <col min="2825" max="2825" width="9.85546875" style="104" customWidth="1"/>
    <col min="2826" max="2826" width="21.85546875" style="104" bestFit="1" customWidth="1"/>
    <col min="2827" max="2827" width="4.5703125" style="104" customWidth="1"/>
    <col min="2828" max="2828" width="21.140625" style="104" customWidth="1"/>
    <col min="2829" max="2829" width="19.42578125" style="104" customWidth="1"/>
    <col min="2830" max="2830" width="28.85546875" style="104" bestFit="1" customWidth="1"/>
    <col min="2831" max="2831" width="3.140625" style="104" customWidth="1"/>
    <col min="2832" max="2832" width="21.85546875" style="104" customWidth="1"/>
    <col min="2833" max="2833" width="11.42578125" style="104" customWidth="1"/>
    <col min="2834" max="2834" width="20.5703125" style="104" bestFit="1" customWidth="1"/>
    <col min="2835" max="3072" width="11.42578125" style="104"/>
    <col min="3073" max="3073" width="4.5703125" style="104" customWidth="1"/>
    <col min="3074" max="3074" width="7.85546875" style="104" customWidth="1"/>
    <col min="3075" max="3075" width="1.85546875" style="104" customWidth="1"/>
    <col min="3076" max="3076" width="56" style="104" customWidth="1"/>
    <col min="3077" max="3077" width="37.42578125" style="104" customWidth="1"/>
    <col min="3078" max="3078" width="26.140625" style="104" customWidth="1"/>
    <col min="3079" max="3079" width="20.5703125" style="104" customWidth="1"/>
    <col min="3080" max="3080" width="18.85546875" style="104" customWidth="1"/>
    <col min="3081" max="3081" width="9.85546875" style="104" customWidth="1"/>
    <col min="3082" max="3082" width="21.85546875" style="104" bestFit="1" customWidth="1"/>
    <col min="3083" max="3083" width="4.5703125" style="104" customWidth="1"/>
    <col min="3084" max="3084" width="21.140625" style="104" customWidth="1"/>
    <col min="3085" max="3085" width="19.42578125" style="104" customWidth="1"/>
    <col min="3086" max="3086" width="28.85546875" style="104" bestFit="1" customWidth="1"/>
    <col min="3087" max="3087" width="3.140625" style="104" customWidth="1"/>
    <col min="3088" max="3088" width="21.85546875" style="104" customWidth="1"/>
    <col min="3089" max="3089" width="11.42578125" style="104" customWidth="1"/>
    <col min="3090" max="3090" width="20.5703125" style="104" bestFit="1" customWidth="1"/>
    <col min="3091" max="3328" width="11.42578125" style="104"/>
    <col min="3329" max="3329" width="4.5703125" style="104" customWidth="1"/>
    <col min="3330" max="3330" width="7.85546875" style="104" customWidth="1"/>
    <col min="3331" max="3331" width="1.85546875" style="104" customWidth="1"/>
    <col min="3332" max="3332" width="56" style="104" customWidth="1"/>
    <col min="3333" max="3333" width="37.42578125" style="104" customWidth="1"/>
    <col min="3334" max="3334" width="26.140625" style="104" customWidth="1"/>
    <col min="3335" max="3335" width="20.5703125" style="104" customWidth="1"/>
    <col min="3336" max="3336" width="18.85546875" style="104" customWidth="1"/>
    <col min="3337" max="3337" width="9.85546875" style="104" customWidth="1"/>
    <col min="3338" max="3338" width="21.85546875" style="104" bestFit="1" customWidth="1"/>
    <col min="3339" max="3339" width="4.5703125" style="104" customWidth="1"/>
    <col min="3340" max="3340" width="21.140625" style="104" customWidth="1"/>
    <col min="3341" max="3341" width="19.42578125" style="104" customWidth="1"/>
    <col min="3342" max="3342" width="28.85546875" style="104" bestFit="1" customWidth="1"/>
    <col min="3343" max="3343" width="3.140625" style="104" customWidth="1"/>
    <col min="3344" max="3344" width="21.85546875" style="104" customWidth="1"/>
    <col min="3345" max="3345" width="11.42578125" style="104" customWidth="1"/>
    <col min="3346" max="3346" width="20.5703125" style="104" bestFit="1" customWidth="1"/>
    <col min="3347" max="3584" width="11.42578125" style="104"/>
    <col min="3585" max="3585" width="4.5703125" style="104" customWidth="1"/>
    <col min="3586" max="3586" width="7.85546875" style="104" customWidth="1"/>
    <col min="3587" max="3587" width="1.85546875" style="104" customWidth="1"/>
    <col min="3588" max="3588" width="56" style="104" customWidth="1"/>
    <col min="3589" max="3589" width="37.42578125" style="104" customWidth="1"/>
    <col min="3590" max="3590" width="26.140625" style="104" customWidth="1"/>
    <col min="3591" max="3591" width="20.5703125" style="104" customWidth="1"/>
    <col min="3592" max="3592" width="18.85546875" style="104" customWidth="1"/>
    <col min="3593" max="3593" width="9.85546875" style="104" customWidth="1"/>
    <col min="3594" max="3594" width="21.85546875" style="104" bestFit="1" customWidth="1"/>
    <col min="3595" max="3595" width="4.5703125" style="104" customWidth="1"/>
    <col min="3596" max="3596" width="21.140625" style="104" customWidth="1"/>
    <col min="3597" max="3597" width="19.42578125" style="104" customWidth="1"/>
    <col min="3598" max="3598" width="28.85546875" style="104" bestFit="1" customWidth="1"/>
    <col min="3599" max="3599" width="3.140625" style="104" customWidth="1"/>
    <col min="3600" max="3600" width="21.85546875" style="104" customWidth="1"/>
    <col min="3601" max="3601" width="11.42578125" style="104" customWidth="1"/>
    <col min="3602" max="3602" width="20.5703125" style="104" bestFit="1" customWidth="1"/>
    <col min="3603" max="3840" width="11.42578125" style="104"/>
    <col min="3841" max="3841" width="4.5703125" style="104" customWidth="1"/>
    <col min="3842" max="3842" width="7.85546875" style="104" customWidth="1"/>
    <col min="3843" max="3843" width="1.85546875" style="104" customWidth="1"/>
    <col min="3844" max="3844" width="56" style="104" customWidth="1"/>
    <col min="3845" max="3845" width="37.42578125" style="104" customWidth="1"/>
    <col min="3846" max="3846" width="26.140625" style="104" customWidth="1"/>
    <col min="3847" max="3847" width="20.5703125" style="104" customWidth="1"/>
    <col min="3848" max="3848" width="18.85546875" style="104" customWidth="1"/>
    <col min="3849" max="3849" width="9.85546875" style="104" customWidth="1"/>
    <col min="3850" max="3850" width="21.85546875" style="104" bestFit="1" customWidth="1"/>
    <col min="3851" max="3851" width="4.5703125" style="104" customWidth="1"/>
    <col min="3852" max="3852" width="21.140625" style="104" customWidth="1"/>
    <col min="3853" max="3853" width="19.42578125" style="104" customWidth="1"/>
    <col min="3854" max="3854" width="28.85546875" style="104" bestFit="1" customWidth="1"/>
    <col min="3855" max="3855" width="3.140625" style="104" customWidth="1"/>
    <col min="3856" max="3856" width="21.85546875" style="104" customWidth="1"/>
    <col min="3857" max="3857" width="11.42578125" style="104" customWidth="1"/>
    <col min="3858" max="3858" width="20.5703125" style="104" bestFit="1" customWidth="1"/>
    <col min="3859" max="4096" width="11.42578125" style="104"/>
    <col min="4097" max="4097" width="4.5703125" style="104" customWidth="1"/>
    <col min="4098" max="4098" width="7.85546875" style="104" customWidth="1"/>
    <col min="4099" max="4099" width="1.85546875" style="104" customWidth="1"/>
    <col min="4100" max="4100" width="56" style="104" customWidth="1"/>
    <col min="4101" max="4101" width="37.42578125" style="104" customWidth="1"/>
    <col min="4102" max="4102" width="26.140625" style="104" customWidth="1"/>
    <col min="4103" max="4103" width="20.5703125" style="104" customWidth="1"/>
    <col min="4104" max="4104" width="18.85546875" style="104" customWidth="1"/>
    <col min="4105" max="4105" width="9.85546875" style="104" customWidth="1"/>
    <col min="4106" max="4106" width="21.85546875" style="104" bestFit="1" customWidth="1"/>
    <col min="4107" max="4107" width="4.5703125" style="104" customWidth="1"/>
    <col min="4108" max="4108" width="21.140625" style="104" customWidth="1"/>
    <col min="4109" max="4109" width="19.42578125" style="104" customWidth="1"/>
    <col min="4110" max="4110" width="28.85546875" style="104" bestFit="1" customWidth="1"/>
    <col min="4111" max="4111" width="3.140625" style="104" customWidth="1"/>
    <col min="4112" max="4112" width="21.85546875" style="104" customWidth="1"/>
    <col min="4113" max="4113" width="11.42578125" style="104" customWidth="1"/>
    <col min="4114" max="4114" width="20.5703125" style="104" bestFit="1" customWidth="1"/>
    <col min="4115" max="4352" width="11.42578125" style="104"/>
    <col min="4353" max="4353" width="4.5703125" style="104" customWidth="1"/>
    <col min="4354" max="4354" width="7.85546875" style="104" customWidth="1"/>
    <col min="4355" max="4355" width="1.85546875" style="104" customWidth="1"/>
    <col min="4356" max="4356" width="56" style="104" customWidth="1"/>
    <col min="4357" max="4357" width="37.42578125" style="104" customWidth="1"/>
    <col min="4358" max="4358" width="26.140625" style="104" customWidth="1"/>
    <col min="4359" max="4359" width="20.5703125" style="104" customWidth="1"/>
    <col min="4360" max="4360" width="18.85546875" style="104" customWidth="1"/>
    <col min="4361" max="4361" width="9.85546875" style="104" customWidth="1"/>
    <col min="4362" max="4362" width="21.85546875" style="104" bestFit="1" customWidth="1"/>
    <col min="4363" max="4363" width="4.5703125" style="104" customWidth="1"/>
    <col min="4364" max="4364" width="21.140625" style="104" customWidth="1"/>
    <col min="4365" max="4365" width="19.42578125" style="104" customWidth="1"/>
    <col min="4366" max="4366" width="28.85546875" style="104" bestFit="1" customWidth="1"/>
    <col min="4367" max="4367" width="3.140625" style="104" customWidth="1"/>
    <col min="4368" max="4368" width="21.85546875" style="104" customWidth="1"/>
    <col min="4369" max="4369" width="11.42578125" style="104" customWidth="1"/>
    <col min="4370" max="4370" width="20.5703125" style="104" bestFit="1" customWidth="1"/>
    <col min="4371" max="4608" width="11.42578125" style="104"/>
    <col min="4609" max="4609" width="4.5703125" style="104" customWidth="1"/>
    <col min="4610" max="4610" width="7.85546875" style="104" customWidth="1"/>
    <col min="4611" max="4611" width="1.85546875" style="104" customWidth="1"/>
    <col min="4612" max="4612" width="56" style="104" customWidth="1"/>
    <col min="4613" max="4613" width="37.42578125" style="104" customWidth="1"/>
    <col min="4614" max="4614" width="26.140625" style="104" customWidth="1"/>
    <col min="4615" max="4615" width="20.5703125" style="104" customWidth="1"/>
    <col min="4616" max="4616" width="18.85546875" style="104" customWidth="1"/>
    <col min="4617" max="4617" width="9.85546875" style="104" customWidth="1"/>
    <col min="4618" max="4618" width="21.85546875" style="104" bestFit="1" customWidth="1"/>
    <col min="4619" max="4619" width="4.5703125" style="104" customWidth="1"/>
    <col min="4620" max="4620" width="21.140625" style="104" customWidth="1"/>
    <col min="4621" max="4621" width="19.42578125" style="104" customWidth="1"/>
    <col min="4622" max="4622" width="28.85546875" style="104" bestFit="1" customWidth="1"/>
    <col min="4623" max="4623" width="3.140625" style="104" customWidth="1"/>
    <col min="4624" max="4624" width="21.85546875" style="104" customWidth="1"/>
    <col min="4625" max="4625" width="11.42578125" style="104" customWidth="1"/>
    <col min="4626" max="4626" width="20.5703125" style="104" bestFit="1" customWidth="1"/>
    <col min="4627" max="4864" width="11.42578125" style="104"/>
    <col min="4865" max="4865" width="4.5703125" style="104" customWidth="1"/>
    <col min="4866" max="4866" width="7.85546875" style="104" customWidth="1"/>
    <col min="4867" max="4867" width="1.85546875" style="104" customWidth="1"/>
    <col min="4868" max="4868" width="56" style="104" customWidth="1"/>
    <col min="4869" max="4869" width="37.42578125" style="104" customWidth="1"/>
    <col min="4870" max="4870" width="26.140625" style="104" customWidth="1"/>
    <col min="4871" max="4871" width="20.5703125" style="104" customWidth="1"/>
    <col min="4872" max="4872" width="18.85546875" style="104" customWidth="1"/>
    <col min="4873" max="4873" width="9.85546875" style="104" customWidth="1"/>
    <col min="4874" max="4874" width="21.85546875" style="104" bestFit="1" customWidth="1"/>
    <col min="4875" max="4875" width="4.5703125" style="104" customWidth="1"/>
    <col min="4876" max="4876" width="21.140625" style="104" customWidth="1"/>
    <col min="4877" max="4877" width="19.42578125" style="104" customWidth="1"/>
    <col min="4878" max="4878" width="28.85546875" style="104" bestFit="1" customWidth="1"/>
    <col min="4879" max="4879" width="3.140625" style="104" customWidth="1"/>
    <col min="4880" max="4880" width="21.85546875" style="104" customWidth="1"/>
    <col min="4881" max="4881" width="11.42578125" style="104" customWidth="1"/>
    <col min="4882" max="4882" width="20.5703125" style="104" bestFit="1" customWidth="1"/>
    <col min="4883" max="5120" width="11.42578125" style="104"/>
    <col min="5121" max="5121" width="4.5703125" style="104" customWidth="1"/>
    <col min="5122" max="5122" width="7.85546875" style="104" customWidth="1"/>
    <col min="5123" max="5123" width="1.85546875" style="104" customWidth="1"/>
    <col min="5124" max="5124" width="56" style="104" customWidth="1"/>
    <col min="5125" max="5125" width="37.42578125" style="104" customWidth="1"/>
    <col min="5126" max="5126" width="26.140625" style="104" customWidth="1"/>
    <col min="5127" max="5127" width="20.5703125" style="104" customWidth="1"/>
    <col min="5128" max="5128" width="18.85546875" style="104" customWidth="1"/>
    <col min="5129" max="5129" width="9.85546875" style="104" customWidth="1"/>
    <col min="5130" max="5130" width="21.85546875" style="104" bestFit="1" customWidth="1"/>
    <col min="5131" max="5131" width="4.5703125" style="104" customWidth="1"/>
    <col min="5132" max="5132" width="21.140625" style="104" customWidth="1"/>
    <col min="5133" max="5133" width="19.42578125" style="104" customWidth="1"/>
    <col min="5134" max="5134" width="28.85546875" style="104" bestFit="1" customWidth="1"/>
    <col min="5135" max="5135" width="3.140625" style="104" customWidth="1"/>
    <col min="5136" max="5136" width="21.85546875" style="104" customWidth="1"/>
    <col min="5137" max="5137" width="11.42578125" style="104" customWidth="1"/>
    <col min="5138" max="5138" width="20.5703125" style="104" bestFit="1" customWidth="1"/>
    <col min="5139" max="5376" width="11.42578125" style="104"/>
    <col min="5377" max="5377" width="4.5703125" style="104" customWidth="1"/>
    <col min="5378" max="5378" width="7.85546875" style="104" customWidth="1"/>
    <col min="5379" max="5379" width="1.85546875" style="104" customWidth="1"/>
    <col min="5380" max="5380" width="56" style="104" customWidth="1"/>
    <col min="5381" max="5381" width="37.42578125" style="104" customWidth="1"/>
    <col min="5382" max="5382" width="26.140625" style="104" customWidth="1"/>
    <col min="5383" max="5383" width="20.5703125" style="104" customWidth="1"/>
    <col min="5384" max="5384" width="18.85546875" style="104" customWidth="1"/>
    <col min="5385" max="5385" width="9.85546875" style="104" customWidth="1"/>
    <col min="5386" max="5386" width="21.85546875" style="104" bestFit="1" customWidth="1"/>
    <col min="5387" max="5387" width="4.5703125" style="104" customWidth="1"/>
    <col min="5388" max="5388" width="21.140625" style="104" customWidth="1"/>
    <col min="5389" max="5389" width="19.42578125" style="104" customWidth="1"/>
    <col min="5390" max="5390" width="28.85546875" style="104" bestFit="1" customWidth="1"/>
    <col min="5391" max="5391" width="3.140625" style="104" customWidth="1"/>
    <col min="5392" max="5392" width="21.85546875" style="104" customWidth="1"/>
    <col min="5393" max="5393" width="11.42578125" style="104" customWidth="1"/>
    <col min="5394" max="5394" width="20.5703125" style="104" bestFit="1" customWidth="1"/>
    <col min="5395" max="5632" width="11.42578125" style="104"/>
    <col min="5633" max="5633" width="4.5703125" style="104" customWidth="1"/>
    <col min="5634" max="5634" width="7.85546875" style="104" customWidth="1"/>
    <col min="5635" max="5635" width="1.85546875" style="104" customWidth="1"/>
    <col min="5636" max="5636" width="56" style="104" customWidth="1"/>
    <col min="5637" max="5637" width="37.42578125" style="104" customWidth="1"/>
    <col min="5638" max="5638" width="26.140625" style="104" customWidth="1"/>
    <col min="5639" max="5639" width="20.5703125" style="104" customWidth="1"/>
    <col min="5640" max="5640" width="18.85546875" style="104" customWidth="1"/>
    <col min="5641" max="5641" width="9.85546875" style="104" customWidth="1"/>
    <col min="5642" max="5642" width="21.85546875" style="104" bestFit="1" customWidth="1"/>
    <col min="5643" max="5643" width="4.5703125" style="104" customWidth="1"/>
    <col min="5644" max="5644" width="21.140625" style="104" customWidth="1"/>
    <col min="5645" max="5645" width="19.42578125" style="104" customWidth="1"/>
    <col min="5646" max="5646" width="28.85546875" style="104" bestFit="1" customWidth="1"/>
    <col min="5647" max="5647" width="3.140625" style="104" customWidth="1"/>
    <col min="5648" max="5648" width="21.85546875" style="104" customWidth="1"/>
    <col min="5649" max="5649" width="11.42578125" style="104" customWidth="1"/>
    <col min="5650" max="5650" width="20.5703125" style="104" bestFit="1" customWidth="1"/>
    <col min="5651" max="5888" width="11.42578125" style="104"/>
    <col min="5889" max="5889" width="4.5703125" style="104" customWidth="1"/>
    <col min="5890" max="5890" width="7.85546875" style="104" customWidth="1"/>
    <col min="5891" max="5891" width="1.85546875" style="104" customWidth="1"/>
    <col min="5892" max="5892" width="56" style="104" customWidth="1"/>
    <col min="5893" max="5893" width="37.42578125" style="104" customWidth="1"/>
    <col min="5894" max="5894" width="26.140625" style="104" customWidth="1"/>
    <col min="5895" max="5895" width="20.5703125" style="104" customWidth="1"/>
    <col min="5896" max="5896" width="18.85546875" style="104" customWidth="1"/>
    <col min="5897" max="5897" width="9.85546875" style="104" customWidth="1"/>
    <col min="5898" max="5898" width="21.85546875" style="104" bestFit="1" customWidth="1"/>
    <col min="5899" max="5899" width="4.5703125" style="104" customWidth="1"/>
    <col min="5900" max="5900" width="21.140625" style="104" customWidth="1"/>
    <col min="5901" max="5901" width="19.42578125" style="104" customWidth="1"/>
    <col min="5902" max="5902" width="28.85546875" style="104" bestFit="1" customWidth="1"/>
    <col min="5903" max="5903" width="3.140625" style="104" customWidth="1"/>
    <col min="5904" max="5904" width="21.85546875" style="104" customWidth="1"/>
    <col min="5905" max="5905" width="11.42578125" style="104" customWidth="1"/>
    <col min="5906" max="5906" width="20.5703125" style="104" bestFit="1" customWidth="1"/>
    <col min="5907" max="6144" width="11.42578125" style="104"/>
    <col min="6145" max="6145" width="4.5703125" style="104" customWidth="1"/>
    <col min="6146" max="6146" width="7.85546875" style="104" customWidth="1"/>
    <col min="6147" max="6147" width="1.85546875" style="104" customWidth="1"/>
    <col min="6148" max="6148" width="56" style="104" customWidth="1"/>
    <col min="6149" max="6149" width="37.42578125" style="104" customWidth="1"/>
    <col min="6150" max="6150" width="26.140625" style="104" customWidth="1"/>
    <col min="6151" max="6151" width="20.5703125" style="104" customWidth="1"/>
    <col min="6152" max="6152" width="18.85546875" style="104" customWidth="1"/>
    <col min="6153" max="6153" width="9.85546875" style="104" customWidth="1"/>
    <col min="6154" max="6154" width="21.85546875" style="104" bestFit="1" customWidth="1"/>
    <col min="6155" max="6155" width="4.5703125" style="104" customWidth="1"/>
    <col min="6156" max="6156" width="21.140625" style="104" customWidth="1"/>
    <col min="6157" max="6157" width="19.42578125" style="104" customWidth="1"/>
    <col min="6158" max="6158" width="28.85546875" style="104" bestFit="1" customWidth="1"/>
    <col min="6159" max="6159" width="3.140625" style="104" customWidth="1"/>
    <col min="6160" max="6160" width="21.85546875" style="104" customWidth="1"/>
    <col min="6161" max="6161" width="11.42578125" style="104" customWidth="1"/>
    <col min="6162" max="6162" width="20.5703125" style="104" bestFit="1" customWidth="1"/>
    <col min="6163" max="6400" width="11.42578125" style="104"/>
    <col min="6401" max="6401" width="4.5703125" style="104" customWidth="1"/>
    <col min="6402" max="6402" width="7.85546875" style="104" customWidth="1"/>
    <col min="6403" max="6403" width="1.85546875" style="104" customWidth="1"/>
    <col min="6404" max="6404" width="56" style="104" customWidth="1"/>
    <col min="6405" max="6405" width="37.42578125" style="104" customWidth="1"/>
    <col min="6406" max="6406" width="26.140625" style="104" customWidth="1"/>
    <col min="6407" max="6407" width="20.5703125" style="104" customWidth="1"/>
    <col min="6408" max="6408" width="18.85546875" style="104" customWidth="1"/>
    <col min="6409" max="6409" width="9.85546875" style="104" customWidth="1"/>
    <col min="6410" max="6410" width="21.85546875" style="104" bestFit="1" customWidth="1"/>
    <col min="6411" max="6411" width="4.5703125" style="104" customWidth="1"/>
    <col min="6412" max="6412" width="21.140625" style="104" customWidth="1"/>
    <col min="6413" max="6413" width="19.42578125" style="104" customWidth="1"/>
    <col min="6414" max="6414" width="28.85546875" style="104" bestFit="1" customWidth="1"/>
    <col min="6415" max="6415" width="3.140625" style="104" customWidth="1"/>
    <col min="6416" max="6416" width="21.85546875" style="104" customWidth="1"/>
    <col min="6417" max="6417" width="11.42578125" style="104" customWidth="1"/>
    <col min="6418" max="6418" width="20.5703125" style="104" bestFit="1" customWidth="1"/>
    <col min="6419" max="6656" width="11.42578125" style="104"/>
    <col min="6657" max="6657" width="4.5703125" style="104" customWidth="1"/>
    <col min="6658" max="6658" width="7.85546875" style="104" customWidth="1"/>
    <col min="6659" max="6659" width="1.85546875" style="104" customWidth="1"/>
    <col min="6660" max="6660" width="56" style="104" customWidth="1"/>
    <col min="6661" max="6661" width="37.42578125" style="104" customWidth="1"/>
    <col min="6662" max="6662" width="26.140625" style="104" customWidth="1"/>
    <col min="6663" max="6663" width="20.5703125" style="104" customWidth="1"/>
    <col min="6664" max="6664" width="18.85546875" style="104" customWidth="1"/>
    <col min="6665" max="6665" width="9.85546875" style="104" customWidth="1"/>
    <col min="6666" max="6666" width="21.85546875" style="104" bestFit="1" customWidth="1"/>
    <col min="6667" max="6667" width="4.5703125" style="104" customWidth="1"/>
    <col min="6668" max="6668" width="21.140625" style="104" customWidth="1"/>
    <col min="6669" max="6669" width="19.42578125" style="104" customWidth="1"/>
    <col min="6670" max="6670" width="28.85546875" style="104" bestFit="1" customWidth="1"/>
    <col min="6671" max="6671" width="3.140625" style="104" customWidth="1"/>
    <col min="6672" max="6672" width="21.85546875" style="104" customWidth="1"/>
    <col min="6673" max="6673" width="11.42578125" style="104" customWidth="1"/>
    <col min="6674" max="6674" width="20.5703125" style="104" bestFit="1" customWidth="1"/>
    <col min="6675" max="6912" width="11.42578125" style="104"/>
    <col min="6913" max="6913" width="4.5703125" style="104" customWidth="1"/>
    <col min="6914" max="6914" width="7.85546875" style="104" customWidth="1"/>
    <col min="6915" max="6915" width="1.85546875" style="104" customWidth="1"/>
    <col min="6916" max="6916" width="56" style="104" customWidth="1"/>
    <col min="6917" max="6917" width="37.42578125" style="104" customWidth="1"/>
    <col min="6918" max="6918" width="26.140625" style="104" customWidth="1"/>
    <col min="6919" max="6919" width="20.5703125" style="104" customWidth="1"/>
    <col min="6920" max="6920" width="18.85546875" style="104" customWidth="1"/>
    <col min="6921" max="6921" width="9.85546875" style="104" customWidth="1"/>
    <col min="6922" max="6922" width="21.85546875" style="104" bestFit="1" customWidth="1"/>
    <col min="6923" max="6923" width="4.5703125" style="104" customWidth="1"/>
    <col min="6924" max="6924" width="21.140625" style="104" customWidth="1"/>
    <col min="6925" max="6925" width="19.42578125" style="104" customWidth="1"/>
    <col min="6926" max="6926" width="28.85546875" style="104" bestFit="1" customWidth="1"/>
    <col min="6927" max="6927" width="3.140625" style="104" customWidth="1"/>
    <col min="6928" max="6928" width="21.85546875" style="104" customWidth="1"/>
    <col min="6929" max="6929" width="11.42578125" style="104" customWidth="1"/>
    <col min="6930" max="6930" width="20.5703125" style="104" bestFit="1" customWidth="1"/>
    <col min="6931" max="7168" width="11.42578125" style="104"/>
    <col min="7169" max="7169" width="4.5703125" style="104" customWidth="1"/>
    <col min="7170" max="7170" width="7.85546875" style="104" customWidth="1"/>
    <col min="7171" max="7171" width="1.85546875" style="104" customWidth="1"/>
    <col min="7172" max="7172" width="56" style="104" customWidth="1"/>
    <col min="7173" max="7173" width="37.42578125" style="104" customWidth="1"/>
    <col min="7174" max="7174" width="26.140625" style="104" customWidth="1"/>
    <col min="7175" max="7175" width="20.5703125" style="104" customWidth="1"/>
    <col min="7176" max="7176" width="18.85546875" style="104" customWidth="1"/>
    <col min="7177" max="7177" width="9.85546875" style="104" customWidth="1"/>
    <col min="7178" max="7178" width="21.85546875" style="104" bestFit="1" customWidth="1"/>
    <col min="7179" max="7179" width="4.5703125" style="104" customWidth="1"/>
    <col min="7180" max="7180" width="21.140625" style="104" customWidth="1"/>
    <col min="7181" max="7181" width="19.42578125" style="104" customWidth="1"/>
    <col min="7182" max="7182" width="28.85546875" style="104" bestFit="1" customWidth="1"/>
    <col min="7183" max="7183" width="3.140625" style="104" customWidth="1"/>
    <col min="7184" max="7184" width="21.85546875" style="104" customWidth="1"/>
    <col min="7185" max="7185" width="11.42578125" style="104" customWidth="1"/>
    <col min="7186" max="7186" width="20.5703125" style="104" bestFit="1" customWidth="1"/>
    <col min="7187" max="7424" width="11.42578125" style="104"/>
    <col min="7425" max="7425" width="4.5703125" style="104" customWidth="1"/>
    <col min="7426" max="7426" width="7.85546875" style="104" customWidth="1"/>
    <col min="7427" max="7427" width="1.85546875" style="104" customWidth="1"/>
    <col min="7428" max="7428" width="56" style="104" customWidth="1"/>
    <col min="7429" max="7429" width="37.42578125" style="104" customWidth="1"/>
    <col min="7430" max="7430" width="26.140625" style="104" customWidth="1"/>
    <col min="7431" max="7431" width="20.5703125" style="104" customWidth="1"/>
    <col min="7432" max="7432" width="18.85546875" style="104" customWidth="1"/>
    <col min="7433" max="7433" width="9.85546875" style="104" customWidth="1"/>
    <col min="7434" max="7434" width="21.85546875" style="104" bestFit="1" customWidth="1"/>
    <col min="7435" max="7435" width="4.5703125" style="104" customWidth="1"/>
    <col min="7436" max="7436" width="21.140625" style="104" customWidth="1"/>
    <col min="7437" max="7437" width="19.42578125" style="104" customWidth="1"/>
    <col min="7438" max="7438" width="28.85546875" style="104" bestFit="1" customWidth="1"/>
    <col min="7439" max="7439" width="3.140625" style="104" customWidth="1"/>
    <col min="7440" max="7440" width="21.85546875" style="104" customWidth="1"/>
    <col min="7441" max="7441" width="11.42578125" style="104" customWidth="1"/>
    <col min="7442" max="7442" width="20.5703125" style="104" bestFit="1" customWidth="1"/>
    <col min="7443" max="7680" width="11.42578125" style="104"/>
    <col min="7681" max="7681" width="4.5703125" style="104" customWidth="1"/>
    <col min="7682" max="7682" width="7.85546875" style="104" customWidth="1"/>
    <col min="7683" max="7683" width="1.85546875" style="104" customWidth="1"/>
    <col min="7684" max="7684" width="56" style="104" customWidth="1"/>
    <col min="7685" max="7685" width="37.42578125" style="104" customWidth="1"/>
    <col min="7686" max="7686" width="26.140625" style="104" customWidth="1"/>
    <col min="7687" max="7687" width="20.5703125" style="104" customWidth="1"/>
    <col min="7688" max="7688" width="18.85546875" style="104" customWidth="1"/>
    <col min="7689" max="7689" width="9.85546875" style="104" customWidth="1"/>
    <col min="7690" max="7690" width="21.85546875" style="104" bestFit="1" customWidth="1"/>
    <col min="7691" max="7691" width="4.5703125" style="104" customWidth="1"/>
    <col min="7692" max="7692" width="21.140625" style="104" customWidth="1"/>
    <col min="7693" max="7693" width="19.42578125" style="104" customWidth="1"/>
    <col min="7694" max="7694" width="28.85546875" style="104" bestFit="1" customWidth="1"/>
    <col min="7695" max="7695" width="3.140625" style="104" customWidth="1"/>
    <col min="7696" max="7696" width="21.85546875" style="104" customWidth="1"/>
    <col min="7697" max="7697" width="11.42578125" style="104" customWidth="1"/>
    <col min="7698" max="7698" width="20.5703125" style="104" bestFit="1" customWidth="1"/>
    <col min="7699" max="7936" width="11.42578125" style="104"/>
    <col min="7937" max="7937" width="4.5703125" style="104" customWidth="1"/>
    <col min="7938" max="7938" width="7.85546875" style="104" customWidth="1"/>
    <col min="7939" max="7939" width="1.85546875" style="104" customWidth="1"/>
    <col min="7940" max="7940" width="56" style="104" customWidth="1"/>
    <col min="7941" max="7941" width="37.42578125" style="104" customWidth="1"/>
    <col min="7942" max="7942" width="26.140625" style="104" customWidth="1"/>
    <col min="7943" max="7943" width="20.5703125" style="104" customWidth="1"/>
    <col min="7944" max="7944" width="18.85546875" style="104" customWidth="1"/>
    <col min="7945" max="7945" width="9.85546875" style="104" customWidth="1"/>
    <col min="7946" max="7946" width="21.85546875" style="104" bestFit="1" customWidth="1"/>
    <col min="7947" max="7947" width="4.5703125" style="104" customWidth="1"/>
    <col min="7948" max="7948" width="21.140625" style="104" customWidth="1"/>
    <col min="7949" max="7949" width="19.42578125" style="104" customWidth="1"/>
    <col min="7950" max="7950" width="28.85546875" style="104" bestFit="1" customWidth="1"/>
    <col min="7951" max="7951" width="3.140625" style="104" customWidth="1"/>
    <col min="7952" max="7952" width="21.85546875" style="104" customWidth="1"/>
    <col min="7953" max="7953" width="11.42578125" style="104" customWidth="1"/>
    <col min="7954" max="7954" width="20.5703125" style="104" bestFit="1" customWidth="1"/>
    <col min="7955" max="8192" width="11.42578125" style="104"/>
    <col min="8193" max="8193" width="4.5703125" style="104" customWidth="1"/>
    <col min="8194" max="8194" width="7.85546875" style="104" customWidth="1"/>
    <col min="8195" max="8195" width="1.85546875" style="104" customWidth="1"/>
    <col min="8196" max="8196" width="56" style="104" customWidth="1"/>
    <col min="8197" max="8197" width="37.42578125" style="104" customWidth="1"/>
    <col min="8198" max="8198" width="26.140625" style="104" customWidth="1"/>
    <col min="8199" max="8199" width="20.5703125" style="104" customWidth="1"/>
    <col min="8200" max="8200" width="18.85546875" style="104" customWidth="1"/>
    <col min="8201" max="8201" width="9.85546875" style="104" customWidth="1"/>
    <col min="8202" max="8202" width="21.85546875" style="104" bestFit="1" customWidth="1"/>
    <col min="8203" max="8203" width="4.5703125" style="104" customWidth="1"/>
    <col min="8204" max="8204" width="21.140625" style="104" customWidth="1"/>
    <col min="8205" max="8205" width="19.42578125" style="104" customWidth="1"/>
    <col min="8206" max="8206" width="28.85546875" style="104" bestFit="1" customWidth="1"/>
    <col min="8207" max="8207" width="3.140625" style="104" customWidth="1"/>
    <col min="8208" max="8208" width="21.85546875" style="104" customWidth="1"/>
    <col min="8209" max="8209" width="11.42578125" style="104" customWidth="1"/>
    <col min="8210" max="8210" width="20.5703125" style="104" bestFit="1" customWidth="1"/>
    <col min="8211" max="8448" width="11.42578125" style="104"/>
    <col min="8449" max="8449" width="4.5703125" style="104" customWidth="1"/>
    <col min="8450" max="8450" width="7.85546875" style="104" customWidth="1"/>
    <col min="8451" max="8451" width="1.85546875" style="104" customWidth="1"/>
    <col min="8452" max="8452" width="56" style="104" customWidth="1"/>
    <col min="8453" max="8453" width="37.42578125" style="104" customWidth="1"/>
    <col min="8454" max="8454" width="26.140625" style="104" customWidth="1"/>
    <col min="8455" max="8455" width="20.5703125" style="104" customWidth="1"/>
    <col min="8456" max="8456" width="18.85546875" style="104" customWidth="1"/>
    <col min="8457" max="8457" width="9.85546875" style="104" customWidth="1"/>
    <col min="8458" max="8458" width="21.85546875" style="104" bestFit="1" customWidth="1"/>
    <col min="8459" max="8459" width="4.5703125" style="104" customWidth="1"/>
    <col min="8460" max="8460" width="21.140625" style="104" customWidth="1"/>
    <col min="8461" max="8461" width="19.42578125" style="104" customWidth="1"/>
    <col min="8462" max="8462" width="28.85546875" style="104" bestFit="1" customWidth="1"/>
    <col min="8463" max="8463" width="3.140625" style="104" customWidth="1"/>
    <col min="8464" max="8464" width="21.85546875" style="104" customWidth="1"/>
    <col min="8465" max="8465" width="11.42578125" style="104" customWidth="1"/>
    <col min="8466" max="8466" width="20.5703125" style="104" bestFit="1" customWidth="1"/>
    <col min="8467" max="8704" width="11.42578125" style="104"/>
    <col min="8705" max="8705" width="4.5703125" style="104" customWidth="1"/>
    <col min="8706" max="8706" width="7.85546875" style="104" customWidth="1"/>
    <col min="8707" max="8707" width="1.85546875" style="104" customWidth="1"/>
    <col min="8708" max="8708" width="56" style="104" customWidth="1"/>
    <col min="8709" max="8709" width="37.42578125" style="104" customWidth="1"/>
    <col min="8710" max="8710" width="26.140625" style="104" customWidth="1"/>
    <col min="8711" max="8711" width="20.5703125" style="104" customWidth="1"/>
    <col min="8712" max="8712" width="18.85546875" style="104" customWidth="1"/>
    <col min="8713" max="8713" width="9.85546875" style="104" customWidth="1"/>
    <col min="8714" max="8714" width="21.85546875" style="104" bestFit="1" customWidth="1"/>
    <col min="8715" max="8715" width="4.5703125" style="104" customWidth="1"/>
    <col min="8716" max="8716" width="21.140625" style="104" customWidth="1"/>
    <col min="8717" max="8717" width="19.42578125" style="104" customWidth="1"/>
    <col min="8718" max="8718" width="28.85546875" style="104" bestFit="1" customWidth="1"/>
    <col min="8719" max="8719" width="3.140625" style="104" customWidth="1"/>
    <col min="8720" max="8720" width="21.85546875" style="104" customWidth="1"/>
    <col min="8721" max="8721" width="11.42578125" style="104" customWidth="1"/>
    <col min="8722" max="8722" width="20.5703125" style="104" bestFit="1" customWidth="1"/>
    <col min="8723" max="8960" width="11.42578125" style="104"/>
    <col min="8961" max="8961" width="4.5703125" style="104" customWidth="1"/>
    <col min="8962" max="8962" width="7.85546875" style="104" customWidth="1"/>
    <col min="8963" max="8963" width="1.85546875" style="104" customWidth="1"/>
    <col min="8964" max="8964" width="56" style="104" customWidth="1"/>
    <col min="8965" max="8965" width="37.42578125" style="104" customWidth="1"/>
    <col min="8966" max="8966" width="26.140625" style="104" customWidth="1"/>
    <col min="8967" max="8967" width="20.5703125" style="104" customWidth="1"/>
    <col min="8968" max="8968" width="18.85546875" style="104" customWidth="1"/>
    <col min="8969" max="8969" width="9.85546875" style="104" customWidth="1"/>
    <col min="8970" max="8970" width="21.85546875" style="104" bestFit="1" customWidth="1"/>
    <col min="8971" max="8971" width="4.5703125" style="104" customWidth="1"/>
    <col min="8972" max="8972" width="21.140625" style="104" customWidth="1"/>
    <col min="8973" max="8973" width="19.42578125" style="104" customWidth="1"/>
    <col min="8974" max="8974" width="28.85546875" style="104" bestFit="1" customWidth="1"/>
    <col min="8975" max="8975" width="3.140625" style="104" customWidth="1"/>
    <col min="8976" max="8976" width="21.85546875" style="104" customWidth="1"/>
    <col min="8977" max="8977" width="11.42578125" style="104" customWidth="1"/>
    <col min="8978" max="8978" width="20.5703125" style="104" bestFit="1" customWidth="1"/>
    <col min="8979" max="9216" width="11.42578125" style="104"/>
    <col min="9217" max="9217" width="4.5703125" style="104" customWidth="1"/>
    <col min="9218" max="9218" width="7.85546875" style="104" customWidth="1"/>
    <col min="9219" max="9219" width="1.85546875" style="104" customWidth="1"/>
    <col min="9220" max="9220" width="56" style="104" customWidth="1"/>
    <col min="9221" max="9221" width="37.42578125" style="104" customWidth="1"/>
    <col min="9222" max="9222" width="26.140625" style="104" customWidth="1"/>
    <col min="9223" max="9223" width="20.5703125" style="104" customWidth="1"/>
    <col min="9224" max="9224" width="18.85546875" style="104" customWidth="1"/>
    <col min="9225" max="9225" width="9.85546875" style="104" customWidth="1"/>
    <col min="9226" max="9226" width="21.85546875" style="104" bestFit="1" customWidth="1"/>
    <col min="9227" max="9227" width="4.5703125" style="104" customWidth="1"/>
    <col min="9228" max="9228" width="21.140625" style="104" customWidth="1"/>
    <col min="9229" max="9229" width="19.42578125" style="104" customWidth="1"/>
    <col min="9230" max="9230" width="28.85546875" style="104" bestFit="1" customWidth="1"/>
    <col min="9231" max="9231" width="3.140625" style="104" customWidth="1"/>
    <col min="9232" max="9232" width="21.85546875" style="104" customWidth="1"/>
    <col min="9233" max="9233" width="11.42578125" style="104" customWidth="1"/>
    <col min="9234" max="9234" width="20.5703125" style="104" bestFit="1" customWidth="1"/>
    <col min="9235" max="9472" width="11.42578125" style="104"/>
    <col min="9473" max="9473" width="4.5703125" style="104" customWidth="1"/>
    <col min="9474" max="9474" width="7.85546875" style="104" customWidth="1"/>
    <col min="9475" max="9475" width="1.85546875" style="104" customWidth="1"/>
    <col min="9476" max="9476" width="56" style="104" customWidth="1"/>
    <col min="9477" max="9477" width="37.42578125" style="104" customWidth="1"/>
    <col min="9478" max="9478" width="26.140625" style="104" customWidth="1"/>
    <col min="9479" max="9479" width="20.5703125" style="104" customWidth="1"/>
    <col min="9480" max="9480" width="18.85546875" style="104" customWidth="1"/>
    <col min="9481" max="9481" width="9.85546875" style="104" customWidth="1"/>
    <col min="9482" max="9482" width="21.85546875" style="104" bestFit="1" customWidth="1"/>
    <col min="9483" max="9483" width="4.5703125" style="104" customWidth="1"/>
    <col min="9484" max="9484" width="21.140625" style="104" customWidth="1"/>
    <col min="9485" max="9485" width="19.42578125" style="104" customWidth="1"/>
    <col min="9486" max="9486" width="28.85546875" style="104" bestFit="1" customWidth="1"/>
    <col min="9487" max="9487" width="3.140625" style="104" customWidth="1"/>
    <col min="9488" max="9488" width="21.85546875" style="104" customWidth="1"/>
    <col min="9489" max="9489" width="11.42578125" style="104" customWidth="1"/>
    <col min="9490" max="9490" width="20.5703125" style="104" bestFit="1" customWidth="1"/>
    <col min="9491" max="9728" width="11.42578125" style="104"/>
    <col min="9729" max="9729" width="4.5703125" style="104" customWidth="1"/>
    <col min="9730" max="9730" width="7.85546875" style="104" customWidth="1"/>
    <col min="9731" max="9731" width="1.85546875" style="104" customWidth="1"/>
    <col min="9732" max="9732" width="56" style="104" customWidth="1"/>
    <col min="9733" max="9733" width="37.42578125" style="104" customWidth="1"/>
    <col min="9734" max="9734" width="26.140625" style="104" customWidth="1"/>
    <col min="9735" max="9735" width="20.5703125" style="104" customWidth="1"/>
    <col min="9736" max="9736" width="18.85546875" style="104" customWidth="1"/>
    <col min="9737" max="9737" width="9.85546875" style="104" customWidth="1"/>
    <col min="9738" max="9738" width="21.85546875" style="104" bestFit="1" customWidth="1"/>
    <col min="9739" max="9739" width="4.5703125" style="104" customWidth="1"/>
    <col min="9740" max="9740" width="21.140625" style="104" customWidth="1"/>
    <col min="9741" max="9741" width="19.42578125" style="104" customWidth="1"/>
    <col min="9742" max="9742" width="28.85546875" style="104" bestFit="1" customWidth="1"/>
    <col min="9743" max="9743" width="3.140625" style="104" customWidth="1"/>
    <col min="9744" max="9744" width="21.85546875" style="104" customWidth="1"/>
    <col min="9745" max="9745" width="11.42578125" style="104" customWidth="1"/>
    <col min="9746" max="9746" width="20.5703125" style="104" bestFit="1" customWidth="1"/>
    <col min="9747" max="9984" width="11.42578125" style="104"/>
    <col min="9985" max="9985" width="4.5703125" style="104" customWidth="1"/>
    <col min="9986" max="9986" width="7.85546875" style="104" customWidth="1"/>
    <col min="9987" max="9987" width="1.85546875" style="104" customWidth="1"/>
    <col min="9988" max="9988" width="56" style="104" customWidth="1"/>
    <col min="9989" max="9989" width="37.42578125" style="104" customWidth="1"/>
    <col min="9990" max="9990" width="26.140625" style="104" customWidth="1"/>
    <col min="9991" max="9991" width="20.5703125" style="104" customWidth="1"/>
    <col min="9992" max="9992" width="18.85546875" style="104" customWidth="1"/>
    <col min="9993" max="9993" width="9.85546875" style="104" customWidth="1"/>
    <col min="9994" max="9994" width="21.85546875" style="104" bestFit="1" customWidth="1"/>
    <col min="9995" max="9995" width="4.5703125" style="104" customWidth="1"/>
    <col min="9996" max="9996" width="21.140625" style="104" customWidth="1"/>
    <col min="9997" max="9997" width="19.42578125" style="104" customWidth="1"/>
    <col min="9998" max="9998" width="28.85546875" style="104" bestFit="1" customWidth="1"/>
    <col min="9999" max="9999" width="3.140625" style="104" customWidth="1"/>
    <col min="10000" max="10000" width="21.85546875" style="104" customWidth="1"/>
    <col min="10001" max="10001" width="11.42578125" style="104" customWidth="1"/>
    <col min="10002" max="10002" width="20.5703125" style="104" bestFit="1" customWidth="1"/>
    <col min="10003" max="10240" width="11.42578125" style="104"/>
    <col min="10241" max="10241" width="4.5703125" style="104" customWidth="1"/>
    <col min="10242" max="10242" width="7.85546875" style="104" customWidth="1"/>
    <col min="10243" max="10243" width="1.85546875" style="104" customWidth="1"/>
    <col min="10244" max="10244" width="56" style="104" customWidth="1"/>
    <col min="10245" max="10245" width="37.42578125" style="104" customWidth="1"/>
    <col min="10246" max="10246" width="26.140625" style="104" customWidth="1"/>
    <col min="10247" max="10247" width="20.5703125" style="104" customWidth="1"/>
    <col min="10248" max="10248" width="18.85546875" style="104" customWidth="1"/>
    <col min="10249" max="10249" width="9.85546875" style="104" customWidth="1"/>
    <col min="10250" max="10250" width="21.85546875" style="104" bestFit="1" customWidth="1"/>
    <col min="10251" max="10251" width="4.5703125" style="104" customWidth="1"/>
    <col min="10252" max="10252" width="21.140625" style="104" customWidth="1"/>
    <col min="10253" max="10253" width="19.42578125" style="104" customWidth="1"/>
    <col min="10254" max="10254" width="28.85546875" style="104" bestFit="1" customWidth="1"/>
    <col min="10255" max="10255" width="3.140625" style="104" customWidth="1"/>
    <col min="10256" max="10256" width="21.85546875" style="104" customWidth="1"/>
    <col min="10257" max="10257" width="11.42578125" style="104" customWidth="1"/>
    <col min="10258" max="10258" width="20.5703125" style="104" bestFit="1" customWidth="1"/>
    <col min="10259" max="10496" width="11.42578125" style="104"/>
    <col min="10497" max="10497" width="4.5703125" style="104" customWidth="1"/>
    <col min="10498" max="10498" width="7.85546875" style="104" customWidth="1"/>
    <col min="10499" max="10499" width="1.85546875" style="104" customWidth="1"/>
    <col min="10500" max="10500" width="56" style="104" customWidth="1"/>
    <col min="10501" max="10501" width="37.42578125" style="104" customWidth="1"/>
    <col min="10502" max="10502" width="26.140625" style="104" customWidth="1"/>
    <col min="10503" max="10503" width="20.5703125" style="104" customWidth="1"/>
    <col min="10504" max="10504" width="18.85546875" style="104" customWidth="1"/>
    <col min="10505" max="10505" width="9.85546875" style="104" customWidth="1"/>
    <col min="10506" max="10506" width="21.85546875" style="104" bestFit="1" customWidth="1"/>
    <col min="10507" max="10507" width="4.5703125" style="104" customWidth="1"/>
    <col min="10508" max="10508" width="21.140625" style="104" customWidth="1"/>
    <col min="10509" max="10509" width="19.42578125" style="104" customWidth="1"/>
    <col min="10510" max="10510" width="28.85546875" style="104" bestFit="1" customWidth="1"/>
    <col min="10511" max="10511" width="3.140625" style="104" customWidth="1"/>
    <col min="10512" max="10512" width="21.85546875" style="104" customWidth="1"/>
    <col min="10513" max="10513" width="11.42578125" style="104" customWidth="1"/>
    <col min="10514" max="10514" width="20.5703125" style="104" bestFit="1" customWidth="1"/>
    <col min="10515" max="10752" width="11.42578125" style="104"/>
    <col min="10753" max="10753" width="4.5703125" style="104" customWidth="1"/>
    <col min="10754" max="10754" width="7.85546875" style="104" customWidth="1"/>
    <col min="10755" max="10755" width="1.85546875" style="104" customWidth="1"/>
    <col min="10756" max="10756" width="56" style="104" customWidth="1"/>
    <col min="10757" max="10757" width="37.42578125" style="104" customWidth="1"/>
    <col min="10758" max="10758" width="26.140625" style="104" customWidth="1"/>
    <col min="10759" max="10759" width="20.5703125" style="104" customWidth="1"/>
    <col min="10760" max="10760" width="18.85546875" style="104" customWidth="1"/>
    <col min="10761" max="10761" width="9.85546875" style="104" customWidth="1"/>
    <col min="10762" max="10762" width="21.85546875" style="104" bestFit="1" customWidth="1"/>
    <col min="10763" max="10763" width="4.5703125" style="104" customWidth="1"/>
    <col min="10764" max="10764" width="21.140625" style="104" customWidth="1"/>
    <col min="10765" max="10765" width="19.42578125" style="104" customWidth="1"/>
    <col min="10766" max="10766" width="28.85546875" style="104" bestFit="1" customWidth="1"/>
    <col min="10767" max="10767" width="3.140625" style="104" customWidth="1"/>
    <col min="10768" max="10768" width="21.85546875" style="104" customWidth="1"/>
    <col min="10769" max="10769" width="11.42578125" style="104" customWidth="1"/>
    <col min="10770" max="10770" width="20.5703125" style="104" bestFit="1" customWidth="1"/>
    <col min="10771" max="11008" width="11.42578125" style="104"/>
    <col min="11009" max="11009" width="4.5703125" style="104" customWidth="1"/>
    <col min="11010" max="11010" width="7.85546875" style="104" customWidth="1"/>
    <col min="11011" max="11011" width="1.85546875" style="104" customWidth="1"/>
    <col min="11012" max="11012" width="56" style="104" customWidth="1"/>
    <col min="11013" max="11013" width="37.42578125" style="104" customWidth="1"/>
    <col min="11014" max="11014" width="26.140625" style="104" customWidth="1"/>
    <col min="11015" max="11015" width="20.5703125" style="104" customWidth="1"/>
    <col min="11016" max="11016" width="18.85546875" style="104" customWidth="1"/>
    <col min="11017" max="11017" width="9.85546875" style="104" customWidth="1"/>
    <col min="11018" max="11018" width="21.85546875" style="104" bestFit="1" customWidth="1"/>
    <col min="11019" max="11019" width="4.5703125" style="104" customWidth="1"/>
    <col min="11020" max="11020" width="21.140625" style="104" customWidth="1"/>
    <col min="11021" max="11021" width="19.42578125" style="104" customWidth="1"/>
    <col min="11022" max="11022" width="28.85546875" style="104" bestFit="1" customWidth="1"/>
    <col min="11023" max="11023" width="3.140625" style="104" customWidth="1"/>
    <col min="11024" max="11024" width="21.85546875" style="104" customWidth="1"/>
    <col min="11025" max="11025" width="11.42578125" style="104" customWidth="1"/>
    <col min="11026" max="11026" width="20.5703125" style="104" bestFit="1" customWidth="1"/>
    <col min="11027" max="11264" width="11.42578125" style="104"/>
    <col min="11265" max="11265" width="4.5703125" style="104" customWidth="1"/>
    <col min="11266" max="11266" width="7.85546875" style="104" customWidth="1"/>
    <col min="11267" max="11267" width="1.85546875" style="104" customWidth="1"/>
    <col min="11268" max="11268" width="56" style="104" customWidth="1"/>
    <col min="11269" max="11269" width="37.42578125" style="104" customWidth="1"/>
    <col min="11270" max="11270" width="26.140625" style="104" customWidth="1"/>
    <col min="11271" max="11271" width="20.5703125" style="104" customWidth="1"/>
    <col min="11272" max="11272" width="18.85546875" style="104" customWidth="1"/>
    <col min="11273" max="11273" width="9.85546875" style="104" customWidth="1"/>
    <col min="11274" max="11274" width="21.85546875" style="104" bestFit="1" customWidth="1"/>
    <col min="11275" max="11275" width="4.5703125" style="104" customWidth="1"/>
    <col min="11276" max="11276" width="21.140625" style="104" customWidth="1"/>
    <col min="11277" max="11277" width="19.42578125" style="104" customWidth="1"/>
    <col min="11278" max="11278" width="28.85546875" style="104" bestFit="1" customWidth="1"/>
    <col min="11279" max="11279" width="3.140625" style="104" customWidth="1"/>
    <col min="11280" max="11280" width="21.85546875" style="104" customWidth="1"/>
    <col min="11281" max="11281" width="11.42578125" style="104" customWidth="1"/>
    <col min="11282" max="11282" width="20.5703125" style="104" bestFit="1" customWidth="1"/>
    <col min="11283" max="11520" width="11.42578125" style="104"/>
    <col min="11521" max="11521" width="4.5703125" style="104" customWidth="1"/>
    <col min="11522" max="11522" width="7.85546875" style="104" customWidth="1"/>
    <col min="11523" max="11523" width="1.85546875" style="104" customWidth="1"/>
    <col min="11524" max="11524" width="56" style="104" customWidth="1"/>
    <col min="11525" max="11525" width="37.42578125" style="104" customWidth="1"/>
    <col min="11526" max="11526" width="26.140625" style="104" customWidth="1"/>
    <col min="11527" max="11527" width="20.5703125" style="104" customWidth="1"/>
    <col min="11528" max="11528" width="18.85546875" style="104" customWidth="1"/>
    <col min="11529" max="11529" width="9.85546875" style="104" customWidth="1"/>
    <col min="11530" max="11530" width="21.85546875" style="104" bestFit="1" customWidth="1"/>
    <col min="11531" max="11531" width="4.5703125" style="104" customWidth="1"/>
    <col min="11532" max="11532" width="21.140625" style="104" customWidth="1"/>
    <col min="11533" max="11533" width="19.42578125" style="104" customWidth="1"/>
    <col min="11534" max="11534" width="28.85546875" style="104" bestFit="1" customWidth="1"/>
    <col min="11535" max="11535" width="3.140625" style="104" customWidth="1"/>
    <col min="11536" max="11536" width="21.85546875" style="104" customWidth="1"/>
    <col min="11537" max="11537" width="11.42578125" style="104" customWidth="1"/>
    <col min="11538" max="11538" width="20.5703125" style="104" bestFit="1" customWidth="1"/>
    <col min="11539" max="11776" width="11.42578125" style="104"/>
    <col min="11777" max="11777" width="4.5703125" style="104" customWidth="1"/>
    <col min="11778" max="11778" width="7.85546875" style="104" customWidth="1"/>
    <col min="11779" max="11779" width="1.85546875" style="104" customWidth="1"/>
    <col min="11780" max="11780" width="56" style="104" customWidth="1"/>
    <col min="11781" max="11781" width="37.42578125" style="104" customWidth="1"/>
    <col min="11782" max="11782" width="26.140625" style="104" customWidth="1"/>
    <col min="11783" max="11783" width="20.5703125" style="104" customWidth="1"/>
    <col min="11784" max="11784" width="18.85546875" style="104" customWidth="1"/>
    <col min="11785" max="11785" width="9.85546875" style="104" customWidth="1"/>
    <col min="11786" max="11786" width="21.85546875" style="104" bestFit="1" customWidth="1"/>
    <col min="11787" max="11787" width="4.5703125" style="104" customWidth="1"/>
    <col min="11788" max="11788" width="21.140625" style="104" customWidth="1"/>
    <col min="11789" max="11789" width="19.42578125" style="104" customWidth="1"/>
    <col min="11790" max="11790" width="28.85546875" style="104" bestFit="1" customWidth="1"/>
    <col min="11791" max="11791" width="3.140625" style="104" customWidth="1"/>
    <col min="11792" max="11792" width="21.85546875" style="104" customWidth="1"/>
    <col min="11793" max="11793" width="11.42578125" style="104" customWidth="1"/>
    <col min="11794" max="11794" width="20.5703125" style="104" bestFit="1" customWidth="1"/>
    <col min="11795" max="12032" width="11.42578125" style="104"/>
    <col min="12033" max="12033" width="4.5703125" style="104" customWidth="1"/>
    <col min="12034" max="12034" width="7.85546875" style="104" customWidth="1"/>
    <col min="12035" max="12035" width="1.85546875" style="104" customWidth="1"/>
    <col min="12036" max="12036" width="56" style="104" customWidth="1"/>
    <col min="12037" max="12037" width="37.42578125" style="104" customWidth="1"/>
    <col min="12038" max="12038" width="26.140625" style="104" customWidth="1"/>
    <col min="12039" max="12039" width="20.5703125" style="104" customWidth="1"/>
    <col min="12040" max="12040" width="18.85546875" style="104" customWidth="1"/>
    <col min="12041" max="12041" width="9.85546875" style="104" customWidth="1"/>
    <col min="12042" max="12042" width="21.85546875" style="104" bestFit="1" customWidth="1"/>
    <col min="12043" max="12043" width="4.5703125" style="104" customWidth="1"/>
    <col min="12044" max="12044" width="21.140625" style="104" customWidth="1"/>
    <col min="12045" max="12045" width="19.42578125" style="104" customWidth="1"/>
    <col min="12046" max="12046" width="28.85546875" style="104" bestFit="1" customWidth="1"/>
    <col min="12047" max="12047" width="3.140625" style="104" customWidth="1"/>
    <col min="12048" max="12048" width="21.85546875" style="104" customWidth="1"/>
    <col min="12049" max="12049" width="11.42578125" style="104" customWidth="1"/>
    <col min="12050" max="12050" width="20.5703125" style="104" bestFit="1" customWidth="1"/>
    <col min="12051" max="12288" width="11.42578125" style="104"/>
    <col min="12289" max="12289" width="4.5703125" style="104" customWidth="1"/>
    <col min="12290" max="12290" width="7.85546875" style="104" customWidth="1"/>
    <col min="12291" max="12291" width="1.85546875" style="104" customWidth="1"/>
    <col min="12292" max="12292" width="56" style="104" customWidth="1"/>
    <col min="12293" max="12293" width="37.42578125" style="104" customWidth="1"/>
    <col min="12294" max="12294" width="26.140625" style="104" customWidth="1"/>
    <col min="12295" max="12295" width="20.5703125" style="104" customWidth="1"/>
    <col min="12296" max="12296" width="18.85546875" style="104" customWidth="1"/>
    <col min="12297" max="12297" width="9.85546875" style="104" customWidth="1"/>
    <col min="12298" max="12298" width="21.85546875" style="104" bestFit="1" customWidth="1"/>
    <col min="12299" max="12299" width="4.5703125" style="104" customWidth="1"/>
    <col min="12300" max="12300" width="21.140625" style="104" customWidth="1"/>
    <col min="12301" max="12301" width="19.42578125" style="104" customWidth="1"/>
    <col min="12302" max="12302" width="28.85546875" style="104" bestFit="1" customWidth="1"/>
    <col min="12303" max="12303" width="3.140625" style="104" customWidth="1"/>
    <col min="12304" max="12304" width="21.85546875" style="104" customWidth="1"/>
    <col min="12305" max="12305" width="11.42578125" style="104" customWidth="1"/>
    <col min="12306" max="12306" width="20.5703125" style="104" bestFit="1" customWidth="1"/>
    <col min="12307" max="12544" width="11.42578125" style="104"/>
    <col min="12545" max="12545" width="4.5703125" style="104" customWidth="1"/>
    <col min="12546" max="12546" width="7.85546875" style="104" customWidth="1"/>
    <col min="12547" max="12547" width="1.85546875" style="104" customWidth="1"/>
    <col min="12548" max="12548" width="56" style="104" customWidth="1"/>
    <col min="12549" max="12549" width="37.42578125" style="104" customWidth="1"/>
    <col min="12550" max="12550" width="26.140625" style="104" customWidth="1"/>
    <col min="12551" max="12551" width="20.5703125" style="104" customWidth="1"/>
    <col min="12552" max="12552" width="18.85546875" style="104" customWidth="1"/>
    <col min="12553" max="12553" width="9.85546875" style="104" customWidth="1"/>
    <col min="12554" max="12554" width="21.85546875" style="104" bestFit="1" customWidth="1"/>
    <col min="12555" max="12555" width="4.5703125" style="104" customWidth="1"/>
    <col min="12556" max="12556" width="21.140625" style="104" customWidth="1"/>
    <col min="12557" max="12557" width="19.42578125" style="104" customWidth="1"/>
    <col min="12558" max="12558" width="28.85546875" style="104" bestFit="1" customWidth="1"/>
    <col min="12559" max="12559" width="3.140625" style="104" customWidth="1"/>
    <col min="12560" max="12560" width="21.85546875" style="104" customWidth="1"/>
    <col min="12561" max="12561" width="11.42578125" style="104" customWidth="1"/>
    <col min="12562" max="12562" width="20.5703125" style="104" bestFit="1" customWidth="1"/>
    <col min="12563" max="12800" width="11.42578125" style="104"/>
    <col min="12801" max="12801" width="4.5703125" style="104" customWidth="1"/>
    <col min="12802" max="12802" width="7.85546875" style="104" customWidth="1"/>
    <col min="12803" max="12803" width="1.85546875" style="104" customWidth="1"/>
    <col min="12804" max="12804" width="56" style="104" customWidth="1"/>
    <col min="12805" max="12805" width="37.42578125" style="104" customWidth="1"/>
    <col min="12806" max="12806" width="26.140625" style="104" customWidth="1"/>
    <col min="12807" max="12807" width="20.5703125" style="104" customWidth="1"/>
    <col min="12808" max="12808" width="18.85546875" style="104" customWidth="1"/>
    <col min="12809" max="12809" width="9.85546875" style="104" customWidth="1"/>
    <col min="12810" max="12810" width="21.85546875" style="104" bestFit="1" customWidth="1"/>
    <col min="12811" max="12811" width="4.5703125" style="104" customWidth="1"/>
    <col min="12812" max="12812" width="21.140625" style="104" customWidth="1"/>
    <col min="12813" max="12813" width="19.42578125" style="104" customWidth="1"/>
    <col min="12814" max="12814" width="28.85546875" style="104" bestFit="1" customWidth="1"/>
    <col min="12815" max="12815" width="3.140625" style="104" customWidth="1"/>
    <col min="12816" max="12816" width="21.85546875" style="104" customWidth="1"/>
    <col min="12817" max="12817" width="11.42578125" style="104" customWidth="1"/>
    <col min="12818" max="12818" width="20.5703125" style="104" bestFit="1" customWidth="1"/>
    <col min="12819" max="13056" width="11.42578125" style="104"/>
    <col min="13057" max="13057" width="4.5703125" style="104" customWidth="1"/>
    <col min="13058" max="13058" width="7.85546875" style="104" customWidth="1"/>
    <col min="13059" max="13059" width="1.85546875" style="104" customWidth="1"/>
    <col min="13060" max="13060" width="56" style="104" customWidth="1"/>
    <col min="13061" max="13061" width="37.42578125" style="104" customWidth="1"/>
    <col min="13062" max="13062" width="26.140625" style="104" customWidth="1"/>
    <col min="13063" max="13063" width="20.5703125" style="104" customWidth="1"/>
    <col min="13064" max="13064" width="18.85546875" style="104" customWidth="1"/>
    <col min="13065" max="13065" width="9.85546875" style="104" customWidth="1"/>
    <col min="13066" max="13066" width="21.85546875" style="104" bestFit="1" customWidth="1"/>
    <col min="13067" max="13067" width="4.5703125" style="104" customWidth="1"/>
    <col min="13068" max="13068" width="21.140625" style="104" customWidth="1"/>
    <col min="13069" max="13069" width="19.42578125" style="104" customWidth="1"/>
    <col min="13070" max="13070" width="28.85546875" style="104" bestFit="1" customWidth="1"/>
    <col min="13071" max="13071" width="3.140625" style="104" customWidth="1"/>
    <col min="13072" max="13072" width="21.85546875" style="104" customWidth="1"/>
    <col min="13073" max="13073" width="11.42578125" style="104" customWidth="1"/>
    <col min="13074" max="13074" width="20.5703125" style="104" bestFit="1" customWidth="1"/>
    <col min="13075" max="13312" width="11.42578125" style="104"/>
    <col min="13313" max="13313" width="4.5703125" style="104" customWidth="1"/>
    <col min="13314" max="13314" width="7.85546875" style="104" customWidth="1"/>
    <col min="13315" max="13315" width="1.85546875" style="104" customWidth="1"/>
    <col min="13316" max="13316" width="56" style="104" customWidth="1"/>
    <col min="13317" max="13317" width="37.42578125" style="104" customWidth="1"/>
    <col min="13318" max="13318" width="26.140625" style="104" customWidth="1"/>
    <col min="13319" max="13319" width="20.5703125" style="104" customWidth="1"/>
    <col min="13320" max="13320" width="18.85546875" style="104" customWidth="1"/>
    <col min="13321" max="13321" width="9.85546875" style="104" customWidth="1"/>
    <col min="13322" max="13322" width="21.85546875" style="104" bestFit="1" customWidth="1"/>
    <col min="13323" max="13323" width="4.5703125" style="104" customWidth="1"/>
    <col min="13324" max="13324" width="21.140625" style="104" customWidth="1"/>
    <col min="13325" max="13325" width="19.42578125" style="104" customWidth="1"/>
    <col min="13326" max="13326" width="28.85546875" style="104" bestFit="1" customWidth="1"/>
    <col min="13327" max="13327" width="3.140625" style="104" customWidth="1"/>
    <col min="13328" max="13328" width="21.85546875" style="104" customWidth="1"/>
    <col min="13329" max="13329" width="11.42578125" style="104" customWidth="1"/>
    <col min="13330" max="13330" width="20.5703125" style="104" bestFit="1" customWidth="1"/>
    <col min="13331" max="13568" width="11.42578125" style="104"/>
    <col min="13569" max="13569" width="4.5703125" style="104" customWidth="1"/>
    <col min="13570" max="13570" width="7.85546875" style="104" customWidth="1"/>
    <col min="13571" max="13571" width="1.85546875" style="104" customWidth="1"/>
    <col min="13572" max="13572" width="56" style="104" customWidth="1"/>
    <col min="13573" max="13573" width="37.42578125" style="104" customWidth="1"/>
    <col min="13574" max="13574" width="26.140625" style="104" customWidth="1"/>
    <col min="13575" max="13575" width="20.5703125" style="104" customWidth="1"/>
    <col min="13576" max="13576" width="18.85546875" style="104" customWidth="1"/>
    <col min="13577" max="13577" width="9.85546875" style="104" customWidth="1"/>
    <col min="13578" max="13578" width="21.85546875" style="104" bestFit="1" customWidth="1"/>
    <col min="13579" max="13579" width="4.5703125" style="104" customWidth="1"/>
    <col min="13580" max="13580" width="21.140625" style="104" customWidth="1"/>
    <col min="13581" max="13581" width="19.42578125" style="104" customWidth="1"/>
    <col min="13582" max="13582" width="28.85546875" style="104" bestFit="1" customWidth="1"/>
    <col min="13583" max="13583" width="3.140625" style="104" customWidth="1"/>
    <col min="13584" max="13584" width="21.85546875" style="104" customWidth="1"/>
    <col min="13585" max="13585" width="11.42578125" style="104" customWidth="1"/>
    <col min="13586" max="13586" width="20.5703125" style="104" bestFit="1" customWidth="1"/>
    <col min="13587" max="13824" width="11.42578125" style="104"/>
    <col min="13825" max="13825" width="4.5703125" style="104" customWidth="1"/>
    <col min="13826" max="13826" width="7.85546875" style="104" customWidth="1"/>
    <col min="13827" max="13827" width="1.85546875" style="104" customWidth="1"/>
    <col min="13828" max="13828" width="56" style="104" customWidth="1"/>
    <col min="13829" max="13829" width="37.42578125" style="104" customWidth="1"/>
    <col min="13830" max="13830" width="26.140625" style="104" customWidth="1"/>
    <col min="13831" max="13831" width="20.5703125" style="104" customWidth="1"/>
    <col min="13832" max="13832" width="18.85546875" style="104" customWidth="1"/>
    <col min="13833" max="13833" width="9.85546875" style="104" customWidth="1"/>
    <col min="13834" max="13834" width="21.85546875" style="104" bestFit="1" customWidth="1"/>
    <col min="13835" max="13835" width="4.5703125" style="104" customWidth="1"/>
    <col min="13836" max="13836" width="21.140625" style="104" customWidth="1"/>
    <col min="13837" max="13837" width="19.42578125" style="104" customWidth="1"/>
    <col min="13838" max="13838" width="28.85546875" style="104" bestFit="1" customWidth="1"/>
    <col min="13839" max="13839" width="3.140625" style="104" customWidth="1"/>
    <col min="13840" max="13840" width="21.85546875" style="104" customWidth="1"/>
    <col min="13841" max="13841" width="11.42578125" style="104" customWidth="1"/>
    <col min="13842" max="13842" width="20.5703125" style="104" bestFit="1" customWidth="1"/>
    <col min="13843" max="14080" width="11.42578125" style="104"/>
    <col min="14081" max="14081" width="4.5703125" style="104" customWidth="1"/>
    <col min="14082" max="14082" width="7.85546875" style="104" customWidth="1"/>
    <col min="14083" max="14083" width="1.85546875" style="104" customWidth="1"/>
    <col min="14084" max="14084" width="56" style="104" customWidth="1"/>
    <col min="14085" max="14085" width="37.42578125" style="104" customWidth="1"/>
    <col min="14086" max="14086" width="26.140625" style="104" customWidth="1"/>
    <col min="14087" max="14087" width="20.5703125" style="104" customWidth="1"/>
    <col min="14088" max="14088" width="18.85546875" style="104" customWidth="1"/>
    <col min="14089" max="14089" width="9.85546875" style="104" customWidth="1"/>
    <col min="14090" max="14090" width="21.85546875" style="104" bestFit="1" customWidth="1"/>
    <col min="14091" max="14091" width="4.5703125" style="104" customWidth="1"/>
    <col min="14092" max="14092" width="21.140625" style="104" customWidth="1"/>
    <col min="14093" max="14093" width="19.42578125" style="104" customWidth="1"/>
    <col min="14094" max="14094" width="28.85546875" style="104" bestFit="1" customWidth="1"/>
    <col min="14095" max="14095" width="3.140625" style="104" customWidth="1"/>
    <col min="14096" max="14096" width="21.85546875" style="104" customWidth="1"/>
    <col min="14097" max="14097" width="11.42578125" style="104" customWidth="1"/>
    <col min="14098" max="14098" width="20.5703125" style="104" bestFit="1" customWidth="1"/>
    <col min="14099" max="14336" width="11.42578125" style="104"/>
    <col min="14337" max="14337" width="4.5703125" style="104" customWidth="1"/>
    <col min="14338" max="14338" width="7.85546875" style="104" customWidth="1"/>
    <col min="14339" max="14339" width="1.85546875" style="104" customWidth="1"/>
    <col min="14340" max="14340" width="56" style="104" customWidth="1"/>
    <col min="14341" max="14341" width="37.42578125" style="104" customWidth="1"/>
    <col min="14342" max="14342" width="26.140625" style="104" customWidth="1"/>
    <col min="14343" max="14343" width="20.5703125" style="104" customWidth="1"/>
    <col min="14344" max="14344" width="18.85546875" style="104" customWidth="1"/>
    <col min="14345" max="14345" width="9.85546875" style="104" customWidth="1"/>
    <col min="14346" max="14346" width="21.85546875" style="104" bestFit="1" customWidth="1"/>
    <col min="14347" max="14347" width="4.5703125" style="104" customWidth="1"/>
    <col min="14348" max="14348" width="21.140625" style="104" customWidth="1"/>
    <col min="14349" max="14349" width="19.42578125" style="104" customWidth="1"/>
    <col min="14350" max="14350" width="28.85546875" style="104" bestFit="1" customWidth="1"/>
    <col min="14351" max="14351" width="3.140625" style="104" customWidth="1"/>
    <col min="14352" max="14352" width="21.85546875" style="104" customWidth="1"/>
    <col min="14353" max="14353" width="11.42578125" style="104" customWidth="1"/>
    <col min="14354" max="14354" width="20.5703125" style="104" bestFit="1" customWidth="1"/>
    <col min="14355" max="14592" width="11.42578125" style="104"/>
    <col min="14593" max="14593" width="4.5703125" style="104" customWidth="1"/>
    <col min="14594" max="14594" width="7.85546875" style="104" customWidth="1"/>
    <col min="14595" max="14595" width="1.85546875" style="104" customWidth="1"/>
    <col min="14596" max="14596" width="56" style="104" customWidth="1"/>
    <col min="14597" max="14597" width="37.42578125" style="104" customWidth="1"/>
    <col min="14598" max="14598" width="26.140625" style="104" customWidth="1"/>
    <col min="14599" max="14599" width="20.5703125" style="104" customWidth="1"/>
    <col min="14600" max="14600" width="18.85546875" style="104" customWidth="1"/>
    <col min="14601" max="14601" width="9.85546875" style="104" customWidth="1"/>
    <col min="14602" max="14602" width="21.85546875" style="104" bestFit="1" customWidth="1"/>
    <col min="14603" max="14603" width="4.5703125" style="104" customWidth="1"/>
    <col min="14604" max="14604" width="21.140625" style="104" customWidth="1"/>
    <col min="14605" max="14605" width="19.42578125" style="104" customWidth="1"/>
    <col min="14606" max="14606" width="28.85546875" style="104" bestFit="1" customWidth="1"/>
    <col min="14607" max="14607" width="3.140625" style="104" customWidth="1"/>
    <col min="14608" max="14608" width="21.85546875" style="104" customWidth="1"/>
    <col min="14609" max="14609" width="11.42578125" style="104" customWidth="1"/>
    <col min="14610" max="14610" width="20.5703125" style="104" bestFit="1" customWidth="1"/>
    <col min="14611" max="14848" width="11.42578125" style="104"/>
    <col min="14849" max="14849" width="4.5703125" style="104" customWidth="1"/>
    <col min="14850" max="14850" width="7.85546875" style="104" customWidth="1"/>
    <col min="14851" max="14851" width="1.85546875" style="104" customWidth="1"/>
    <col min="14852" max="14852" width="56" style="104" customWidth="1"/>
    <col min="14853" max="14853" width="37.42578125" style="104" customWidth="1"/>
    <col min="14854" max="14854" width="26.140625" style="104" customWidth="1"/>
    <col min="14855" max="14855" width="20.5703125" style="104" customWidth="1"/>
    <col min="14856" max="14856" width="18.85546875" style="104" customWidth="1"/>
    <col min="14857" max="14857" width="9.85546875" style="104" customWidth="1"/>
    <col min="14858" max="14858" width="21.85546875" style="104" bestFit="1" customWidth="1"/>
    <col min="14859" max="14859" width="4.5703125" style="104" customWidth="1"/>
    <col min="14860" max="14860" width="21.140625" style="104" customWidth="1"/>
    <col min="14861" max="14861" width="19.42578125" style="104" customWidth="1"/>
    <col min="14862" max="14862" width="28.85546875" style="104" bestFit="1" customWidth="1"/>
    <col min="14863" max="14863" width="3.140625" style="104" customWidth="1"/>
    <col min="14864" max="14864" width="21.85546875" style="104" customWidth="1"/>
    <col min="14865" max="14865" width="11.42578125" style="104" customWidth="1"/>
    <col min="14866" max="14866" width="20.5703125" style="104" bestFit="1" customWidth="1"/>
    <col min="14867" max="15104" width="11.42578125" style="104"/>
    <col min="15105" max="15105" width="4.5703125" style="104" customWidth="1"/>
    <col min="15106" max="15106" width="7.85546875" style="104" customWidth="1"/>
    <col min="15107" max="15107" width="1.85546875" style="104" customWidth="1"/>
    <col min="15108" max="15108" width="56" style="104" customWidth="1"/>
    <col min="15109" max="15109" width="37.42578125" style="104" customWidth="1"/>
    <col min="15110" max="15110" width="26.140625" style="104" customWidth="1"/>
    <col min="15111" max="15111" width="20.5703125" style="104" customWidth="1"/>
    <col min="15112" max="15112" width="18.85546875" style="104" customWidth="1"/>
    <col min="15113" max="15113" width="9.85546875" style="104" customWidth="1"/>
    <col min="15114" max="15114" width="21.85546875" style="104" bestFit="1" customWidth="1"/>
    <col min="15115" max="15115" width="4.5703125" style="104" customWidth="1"/>
    <col min="15116" max="15116" width="21.140625" style="104" customWidth="1"/>
    <col min="15117" max="15117" width="19.42578125" style="104" customWidth="1"/>
    <col min="15118" max="15118" width="28.85546875" style="104" bestFit="1" customWidth="1"/>
    <col min="15119" max="15119" width="3.140625" style="104" customWidth="1"/>
    <col min="15120" max="15120" width="21.85546875" style="104" customWidth="1"/>
    <col min="15121" max="15121" width="11.42578125" style="104" customWidth="1"/>
    <col min="15122" max="15122" width="20.5703125" style="104" bestFit="1" customWidth="1"/>
    <col min="15123" max="15360" width="11.42578125" style="104"/>
    <col min="15361" max="15361" width="4.5703125" style="104" customWidth="1"/>
    <col min="15362" max="15362" width="7.85546875" style="104" customWidth="1"/>
    <col min="15363" max="15363" width="1.85546875" style="104" customWidth="1"/>
    <col min="15364" max="15364" width="56" style="104" customWidth="1"/>
    <col min="15365" max="15365" width="37.42578125" style="104" customWidth="1"/>
    <col min="15366" max="15366" width="26.140625" style="104" customWidth="1"/>
    <col min="15367" max="15367" width="20.5703125" style="104" customWidth="1"/>
    <col min="15368" max="15368" width="18.85546875" style="104" customWidth="1"/>
    <col min="15369" max="15369" width="9.85546875" style="104" customWidth="1"/>
    <col min="15370" max="15370" width="21.85546875" style="104" bestFit="1" customWidth="1"/>
    <col min="15371" max="15371" width="4.5703125" style="104" customWidth="1"/>
    <col min="15372" max="15372" width="21.140625" style="104" customWidth="1"/>
    <col min="15373" max="15373" width="19.42578125" style="104" customWidth="1"/>
    <col min="15374" max="15374" width="28.85546875" style="104" bestFit="1" customWidth="1"/>
    <col min="15375" max="15375" width="3.140625" style="104" customWidth="1"/>
    <col min="15376" max="15376" width="21.85546875" style="104" customWidth="1"/>
    <col min="15377" max="15377" width="11.42578125" style="104" customWidth="1"/>
    <col min="15378" max="15378" width="20.5703125" style="104" bestFit="1" customWidth="1"/>
    <col min="15379" max="15616" width="11.42578125" style="104"/>
    <col min="15617" max="15617" width="4.5703125" style="104" customWidth="1"/>
    <col min="15618" max="15618" width="7.85546875" style="104" customWidth="1"/>
    <col min="15619" max="15619" width="1.85546875" style="104" customWidth="1"/>
    <col min="15620" max="15620" width="56" style="104" customWidth="1"/>
    <col min="15621" max="15621" width="37.42578125" style="104" customWidth="1"/>
    <col min="15622" max="15622" width="26.140625" style="104" customWidth="1"/>
    <col min="15623" max="15623" width="20.5703125" style="104" customWidth="1"/>
    <col min="15624" max="15624" width="18.85546875" style="104" customWidth="1"/>
    <col min="15625" max="15625" width="9.85546875" style="104" customWidth="1"/>
    <col min="15626" max="15626" width="21.85546875" style="104" bestFit="1" customWidth="1"/>
    <col min="15627" max="15627" width="4.5703125" style="104" customWidth="1"/>
    <col min="15628" max="15628" width="21.140625" style="104" customWidth="1"/>
    <col min="15629" max="15629" width="19.42578125" style="104" customWidth="1"/>
    <col min="15630" max="15630" width="28.85546875" style="104" bestFit="1" customWidth="1"/>
    <col min="15631" max="15631" width="3.140625" style="104" customWidth="1"/>
    <col min="15632" max="15632" width="21.85546875" style="104" customWidth="1"/>
    <col min="15633" max="15633" width="11.42578125" style="104" customWidth="1"/>
    <col min="15634" max="15634" width="20.5703125" style="104" bestFit="1" customWidth="1"/>
    <col min="15635" max="15872" width="11.42578125" style="104"/>
    <col min="15873" max="15873" width="4.5703125" style="104" customWidth="1"/>
    <col min="15874" max="15874" width="7.85546875" style="104" customWidth="1"/>
    <col min="15875" max="15875" width="1.85546875" style="104" customWidth="1"/>
    <col min="15876" max="15876" width="56" style="104" customWidth="1"/>
    <col min="15877" max="15877" width="37.42578125" style="104" customWidth="1"/>
    <col min="15878" max="15878" width="26.140625" style="104" customWidth="1"/>
    <col min="15879" max="15879" width="20.5703125" style="104" customWidth="1"/>
    <col min="15880" max="15880" width="18.85546875" style="104" customWidth="1"/>
    <col min="15881" max="15881" width="9.85546875" style="104" customWidth="1"/>
    <col min="15882" max="15882" width="21.85546875" style="104" bestFit="1" customWidth="1"/>
    <col min="15883" max="15883" width="4.5703125" style="104" customWidth="1"/>
    <col min="15884" max="15884" width="21.140625" style="104" customWidth="1"/>
    <col min="15885" max="15885" width="19.42578125" style="104" customWidth="1"/>
    <col min="15886" max="15886" width="28.85546875" style="104" bestFit="1" customWidth="1"/>
    <col min="15887" max="15887" width="3.140625" style="104" customWidth="1"/>
    <col min="15888" max="15888" width="21.85546875" style="104" customWidth="1"/>
    <col min="15889" max="15889" width="11.42578125" style="104" customWidth="1"/>
    <col min="15890" max="15890" width="20.5703125" style="104" bestFit="1" customWidth="1"/>
    <col min="15891" max="16128" width="11.42578125" style="104"/>
    <col min="16129" max="16129" width="4.5703125" style="104" customWidth="1"/>
    <col min="16130" max="16130" width="7.85546875" style="104" customWidth="1"/>
    <col min="16131" max="16131" width="1.85546875" style="104" customWidth="1"/>
    <col min="16132" max="16132" width="56" style="104" customWidth="1"/>
    <col min="16133" max="16133" width="37.42578125" style="104" customWidth="1"/>
    <col min="16134" max="16134" width="26.140625" style="104" customWidth="1"/>
    <col min="16135" max="16135" width="20.5703125" style="104" customWidth="1"/>
    <col min="16136" max="16136" width="18.85546875" style="104" customWidth="1"/>
    <col min="16137" max="16137" width="9.85546875" style="104" customWidth="1"/>
    <col min="16138" max="16138" width="21.85546875" style="104" bestFit="1" customWidth="1"/>
    <col min="16139" max="16139" width="4.5703125" style="104" customWidth="1"/>
    <col min="16140" max="16140" width="21.140625" style="104" customWidth="1"/>
    <col min="16141" max="16141" width="19.42578125" style="104" customWidth="1"/>
    <col min="16142" max="16142" width="28.85546875" style="104" bestFit="1" customWidth="1"/>
    <col min="16143" max="16143" width="3.140625" style="104" customWidth="1"/>
    <col min="16144" max="16144" width="21.85546875" style="104" customWidth="1"/>
    <col min="16145" max="16145" width="11.42578125" style="104" customWidth="1"/>
    <col min="16146" max="16146" width="20.5703125" style="104" bestFit="1" customWidth="1"/>
    <col min="16147" max="16384" width="11.42578125" style="104"/>
  </cols>
  <sheetData>
    <row r="1" spans="2:16" ht="15.75">
      <c r="B1" s="336"/>
      <c r="C1" s="192"/>
      <c r="D1" s="318"/>
      <c r="E1" s="145"/>
      <c r="F1" s="145"/>
      <c r="G1" s="144"/>
      <c r="H1" s="192"/>
      <c r="I1" s="249"/>
      <c r="J1" s="249"/>
      <c r="K1" s="249"/>
      <c r="L1" s="120"/>
      <c r="M1" s="120"/>
      <c r="N1" s="409">
        <f>'[5]OKT Historic TCOS'!O1</f>
        <v>2016</v>
      </c>
    </row>
    <row r="2" spans="2:16">
      <c r="B2" s="336"/>
      <c r="C2" s="192"/>
      <c r="D2" s="120"/>
      <c r="E2" s="192"/>
      <c r="F2" s="192"/>
      <c r="G2" s="192"/>
      <c r="H2" s="192"/>
      <c r="I2" s="192"/>
      <c r="J2" s="192"/>
      <c r="K2" s="192"/>
      <c r="L2" s="192"/>
      <c r="M2" s="120"/>
      <c r="N2" s="409">
        <f>'[5]OKT Historic TCOS'!O2</f>
        <v>2017</v>
      </c>
    </row>
    <row r="3" spans="2:16">
      <c r="B3" s="336"/>
      <c r="C3" s="192"/>
      <c r="D3" s="119"/>
      <c r="E3" s="119"/>
      <c r="F3" s="408" t="s">
        <v>543</v>
      </c>
      <c r="G3" s="407"/>
      <c r="H3" s="404"/>
      <c r="J3" s="135"/>
      <c r="K3" s="138"/>
      <c r="L3" s="138"/>
      <c r="M3" s="403"/>
    </row>
    <row r="4" spans="2:16">
      <c r="B4" s="336"/>
      <c r="C4" s="192"/>
      <c r="D4" s="119"/>
      <c r="E4" s="139"/>
      <c r="F4" s="406" t="s">
        <v>542</v>
      </c>
      <c r="G4" s="404"/>
      <c r="H4" s="404"/>
      <c r="J4" s="139"/>
      <c r="K4" s="138"/>
      <c r="L4" s="138"/>
      <c r="M4" s="403"/>
    </row>
    <row r="5" spans="2:16">
      <c r="B5" s="336"/>
      <c r="C5" s="192"/>
      <c r="D5" s="125"/>
      <c r="E5" s="138"/>
      <c r="F5" s="405" t="str">
        <f>"Utilizing Actual Cost Data for "&amp;'[5]OKT Historic TCOS'!O1&amp;" with Average Ratebase Balances"</f>
        <v>Utilizing Actual Cost Data for 2016 with Average Ratebase Balances</v>
      </c>
      <c r="G5" s="404"/>
      <c r="H5" s="404"/>
      <c r="J5" s="138"/>
      <c r="K5" s="138"/>
      <c r="L5" s="138"/>
      <c r="M5" s="403"/>
    </row>
    <row r="6" spans="2:16">
      <c r="B6" s="134"/>
      <c r="C6" s="133"/>
      <c r="D6" s="125"/>
      <c r="H6" s="335"/>
      <c r="I6" s="335"/>
      <c r="J6" s="335"/>
      <c r="K6" s="335"/>
      <c r="L6" s="138"/>
      <c r="M6" s="125"/>
    </row>
    <row r="7" spans="2:16" ht="15.75">
      <c r="B7" s="134"/>
      <c r="C7" s="133"/>
      <c r="D7" s="143"/>
      <c r="E7" s="125"/>
      <c r="F7" s="402" t="str">
        <f>'[5]OKT Historic TCOS'!F7</f>
        <v>AEP OKLAHOMA TRANSMISSION COMPANY, INC</v>
      </c>
      <c r="G7" s="401"/>
      <c r="H7" s="138"/>
      <c r="I7" s="138"/>
      <c r="J7" s="138"/>
      <c r="K7" s="138"/>
      <c r="L7" s="108"/>
      <c r="M7" s="108"/>
      <c r="N7" s="108"/>
    </row>
    <row r="8" spans="2:16">
      <c r="B8" s="134"/>
      <c r="C8" s="133"/>
      <c r="D8" s="125"/>
      <c r="E8" s="138"/>
      <c r="F8" s="400"/>
      <c r="G8" s="399"/>
      <c r="H8" s="138"/>
      <c r="I8" s="138"/>
      <c r="J8" s="138"/>
      <c r="K8" s="138"/>
      <c r="L8" s="108"/>
      <c r="M8" s="108"/>
      <c r="N8" s="108"/>
    </row>
    <row r="9" spans="2:16">
      <c r="B9" s="134" t="s">
        <v>541</v>
      </c>
      <c r="C9" s="133"/>
      <c r="D9" s="138"/>
      <c r="E9" s="138"/>
      <c r="F9" s="138"/>
      <c r="G9" s="399"/>
      <c r="H9" s="138"/>
      <c r="I9" s="138"/>
      <c r="J9" s="138"/>
      <c r="K9" s="138"/>
      <c r="L9" s="133" t="s">
        <v>455</v>
      </c>
      <c r="M9" s="108"/>
      <c r="N9" s="398" t="s">
        <v>540</v>
      </c>
      <c r="O9" s="151"/>
      <c r="P9" s="398" t="s">
        <v>539</v>
      </c>
    </row>
    <row r="10" spans="2:16" ht="15.75" thickBot="1">
      <c r="B10" s="243" t="s">
        <v>388</v>
      </c>
      <c r="C10" s="132"/>
      <c r="D10" s="138"/>
      <c r="E10" s="132"/>
      <c r="F10" s="138"/>
      <c r="G10" s="138"/>
      <c r="H10" s="138"/>
      <c r="I10" s="138"/>
      <c r="J10" s="138"/>
      <c r="K10" s="138"/>
      <c r="L10" s="394" t="s">
        <v>538</v>
      </c>
      <c r="M10" s="108"/>
      <c r="N10" s="171"/>
      <c r="O10" s="151"/>
      <c r="P10" s="171"/>
    </row>
    <row r="11" spans="2:16">
      <c r="B11" s="134">
        <v>1</v>
      </c>
      <c r="C11" s="133"/>
      <c r="D11" s="397" t="s">
        <v>537</v>
      </c>
      <c r="E11" s="125" t="str">
        <f>"(ln "&amp;B178&amp;")"</f>
        <v>(ln 106)</v>
      </c>
      <c r="F11" s="125"/>
      <c r="G11" s="392"/>
      <c r="H11" s="362"/>
      <c r="I11" s="138"/>
      <c r="J11" s="138"/>
      <c r="K11" s="138"/>
      <c r="L11" s="136">
        <f>+L178</f>
        <v>62324579.854974523</v>
      </c>
      <c r="M11" s="108"/>
      <c r="N11" s="396">
        <v>66232655.439523704</v>
      </c>
      <c r="O11" s="151"/>
      <c r="P11" s="396">
        <f t="shared" ref="P11:P49" si="0">IF(N11="","",N11-L11)</f>
        <v>3908075.5845491812</v>
      </c>
    </row>
    <row r="12" spans="2:16" ht="15.75" thickBot="1">
      <c r="B12" s="134"/>
      <c r="C12" s="133"/>
      <c r="E12" s="395"/>
      <c r="F12" s="131"/>
      <c r="G12" s="394" t="s">
        <v>372</v>
      </c>
      <c r="H12" s="139"/>
      <c r="I12" s="393" t="s">
        <v>520</v>
      </c>
      <c r="J12" s="393"/>
      <c r="K12" s="138"/>
      <c r="L12" s="392"/>
      <c r="M12" s="108"/>
      <c r="N12" s="391"/>
      <c r="O12" s="151"/>
      <c r="P12" s="391" t="str">
        <f t="shared" si="0"/>
        <v/>
      </c>
    </row>
    <row r="13" spans="2:16">
      <c r="B13" s="134">
        <f>+B11+1</f>
        <v>2</v>
      </c>
      <c r="C13" s="133"/>
      <c r="D13" s="373" t="s">
        <v>536</v>
      </c>
      <c r="E13" s="305" t="s">
        <v>535</v>
      </c>
      <c r="F13" s="131"/>
      <c r="G13" s="237"/>
      <c r="H13" s="131"/>
      <c r="I13" s="175"/>
      <c r="J13" s="214"/>
      <c r="K13" s="139"/>
      <c r="L13" s="387"/>
      <c r="M13" s="108"/>
      <c r="N13" s="386"/>
      <c r="O13" s="151"/>
      <c r="P13" s="386" t="str">
        <f t="shared" si="0"/>
        <v/>
      </c>
    </row>
    <row r="14" spans="2:16">
      <c r="B14" s="134">
        <f>+B13+1</f>
        <v>3</v>
      </c>
      <c r="C14" s="133"/>
      <c r="D14" s="135" t="s">
        <v>534</v>
      </c>
      <c r="E14" s="303" t="s">
        <v>532</v>
      </c>
      <c r="F14" s="131"/>
      <c r="G14" s="237">
        <f>+'[5]OKT WS H Rev Credits'!M46</f>
        <v>2431724.1499999985</v>
      </c>
      <c r="H14" s="131"/>
      <c r="I14" s="175" t="s">
        <v>269</v>
      </c>
      <c r="J14" s="214">
        <f>VLOOKUP(I14,PSO_TU_Allocators,2,FALSE)</f>
        <v>1</v>
      </c>
      <c r="K14" s="139"/>
      <c r="L14" s="387">
        <f>+J14*G14</f>
        <v>2431724.1499999985</v>
      </c>
      <c r="M14" s="108"/>
      <c r="N14" s="386">
        <v>2431724.1499999985</v>
      </c>
      <c r="O14" s="151"/>
      <c r="P14" s="386">
        <f t="shared" si="0"/>
        <v>0</v>
      </c>
    </row>
    <row r="15" spans="2:16">
      <c r="B15" s="134">
        <f>+B14+1</f>
        <v>4</v>
      </c>
      <c r="C15" s="133"/>
      <c r="D15" s="135" t="s">
        <v>533</v>
      </c>
      <c r="E15" s="303" t="s">
        <v>532</v>
      </c>
      <c r="F15" s="131"/>
      <c r="G15" s="390">
        <f>+'[5]OKT WS H Rev Credits'!M28</f>
        <v>0</v>
      </c>
      <c r="H15" s="131"/>
      <c r="I15" s="175" t="s">
        <v>269</v>
      </c>
      <c r="J15" s="214">
        <f>VLOOKUP(I15,PSO_TU_Allocators,2,FALSE)</f>
        <v>1</v>
      </c>
      <c r="K15" s="139"/>
      <c r="L15" s="389">
        <f>+J15*G15</f>
        <v>0</v>
      </c>
      <c r="M15" s="108"/>
      <c r="N15" s="388">
        <v>0</v>
      </c>
      <c r="O15" s="151"/>
      <c r="P15" s="388">
        <f t="shared" si="0"/>
        <v>0</v>
      </c>
    </row>
    <row r="16" spans="2:16">
      <c r="B16" s="134">
        <f>+B15+1</f>
        <v>5</v>
      </c>
      <c r="C16" s="133"/>
      <c r="D16" s="135" t="s">
        <v>531</v>
      </c>
      <c r="E16" s="138"/>
      <c r="F16" s="131"/>
      <c r="G16" s="237">
        <f>+G14+G15</f>
        <v>2431724.1499999985</v>
      </c>
      <c r="H16" s="131"/>
      <c r="I16" s="175"/>
      <c r="J16" s="214"/>
      <c r="K16" s="139"/>
      <c r="L16" s="387">
        <f>+L15+L14</f>
        <v>2431724.1499999985</v>
      </c>
      <c r="M16" s="108"/>
      <c r="N16" s="386">
        <v>2431724.1499999985</v>
      </c>
      <c r="O16" s="151"/>
      <c r="P16" s="386">
        <f t="shared" si="0"/>
        <v>0</v>
      </c>
    </row>
    <row r="17" spans="2:16">
      <c r="B17" s="134"/>
      <c r="C17" s="133"/>
      <c r="D17" s="373"/>
      <c r="F17" s="139"/>
      <c r="L17" s="385"/>
      <c r="M17" s="108"/>
      <c r="N17" s="384"/>
      <c r="O17" s="151"/>
      <c r="P17" s="384" t="str">
        <f t="shared" si="0"/>
        <v/>
      </c>
    </row>
    <row r="18" spans="2:16" ht="30.75" thickBot="1">
      <c r="B18" s="115">
        <f>+B16+1</f>
        <v>6</v>
      </c>
      <c r="C18" s="114"/>
      <c r="D18" s="383" t="s">
        <v>530</v>
      </c>
      <c r="E18" s="305" t="str">
        <f>"(ln "&amp;B11&amp;" less ln " &amp;B16&amp;")"</f>
        <v>(ln 1 less ln 5)</v>
      </c>
      <c r="F18" s="138"/>
      <c r="H18" s="139"/>
      <c r="I18" s="204"/>
      <c r="J18" s="139"/>
      <c r="K18" s="139"/>
      <c r="L18" s="382">
        <f>+L11-L16</f>
        <v>59892855.704974525</v>
      </c>
      <c r="M18" s="108"/>
      <c r="N18" s="381">
        <v>63800931.289523706</v>
      </c>
      <c r="O18" s="151"/>
      <c r="P18" s="381">
        <f t="shared" si="0"/>
        <v>3908075.5845491812</v>
      </c>
    </row>
    <row r="19" spans="2:16" ht="15.75" thickTop="1">
      <c r="B19" s="115"/>
      <c r="C19" s="114"/>
      <c r="D19" s="373"/>
      <c r="E19" s="303"/>
      <c r="F19" s="138"/>
      <c r="H19" s="139"/>
      <c r="I19" s="204"/>
      <c r="J19" s="139"/>
      <c r="K19" s="139"/>
      <c r="L19" s="380"/>
      <c r="M19" s="108"/>
      <c r="N19" s="377"/>
      <c r="O19" s="151"/>
      <c r="P19" s="377" t="str">
        <f t="shared" si="0"/>
        <v/>
      </c>
    </row>
    <row r="20" spans="2:16" ht="15" customHeight="1">
      <c r="B20" s="479" t="str">
        <f>"MEMO:  The Carrying Charge Calculations on lines "&amp;B26&amp;" to "&amp;B33&amp;" below is used in calculating project revenue requirements billed on SPP Schedule 11.  The total non-incentive revenue requirements for these projects shown on line "&amp;B23&amp;" is included in the total on line "&amp;B18&amp;"."</f>
        <v>MEMO:  The Carrying Charge Calculations on lines 9 to 14 below is used in calculating project revenue requirements billed on SPP Schedule 11.  The total non-incentive revenue requirements for these projects shown on line 7 is included in the total on line 6.</v>
      </c>
      <c r="C20" s="479"/>
      <c r="D20" s="479"/>
      <c r="E20" s="479"/>
      <c r="F20" s="479"/>
      <c r="G20" s="479"/>
      <c r="H20" s="479"/>
      <c r="I20" s="479"/>
      <c r="J20" s="108"/>
      <c r="M20" s="108"/>
      <c r="N20" s="151"/>
      <c r="O20" s="151"/>
      <c r="P20" s="151" t="str">
        <f t="shared" si="0"/>
        <v/>
      </c>
    </row>
    <row r="21" spans="2:16" ht="15" customHeight="1">
      <c r="B21" s="479"/>
      <c r="C21" s="479"/>
      <c r="D21" s="479"/>
      <c r="E21" s="479"/>
      <c r="F21" s="479"/>
      <c r="G21" s="479"/>
      <c r="H21" s="479"/>
      <c r="I21" s="479"/>
      <c r="J21" s="108"/>
      <c r="K21" s="108"/>
      <c r="L21" s="108"/>
      <c r="M21" s="108"/>
      <c r="N21" s="317"/>
      <c r="O21" s="151"/>
      <c r="P21" s="317" t="str">
        <f t="shared" si="0"/>
        <v/>
      </c>
    </row>
    <row r="22" spans="2:16" ht="15" customHeight="1">
      <c r="B22" s="379"/>
      <c r="C22" s="379"/>
      <c r="D22" s="379"/>
      <c r="E22" s="379"/>
      <c r="F22" s="379"/>
      <c r="G22" s="379"/>
      <c r="H22" s="379"/>
      <c r="I22" s="379"/>
      <c r="M22" s="108"/>
      <c r="N22" s="151"/>
      <c r="O22" s="151"/>
      <c r="P22" s="151" t="str">
        <f t="shared" si="0"/>
        <v/>
      </c>
    </row>
    <row r="23" spans="2:16">
      <c r="B23" s="134">
        <f>+B18+1</f>
        <v>7</v>
      </c>
      <c r="C23" s="114"/>
      <c r="D23" s="480" t="s">
        <v>529</v>
      </c>
      <c r="E23" s="474"/>
      <c r="F23" s="131"/>
      <c r="G23" s="154">
        <f>+'[5]OKT WS G BPU ATRR True-up'!N18</f>
        <v>17022289.718872193</v>
      </c>
      <c r="H23" s="131"/>
      <c r="I23" s="175" t="s">
        <v>269</v>
      </c>
      <c r="J23" s="214">
        <f>VLOOKUP(I23,PSO_TU_Allocators,2,FALSE)</f>
        <v>1</v>
      </c>
      <c r="K23" s="125"/>
      <c r="L23" s="378">
        <f>+J23*G23</f>
        <v>17022289.718872193</v>
      </c>
      <c r="M23" s="108"/>
      <c r="N23" s="377">
        <v>17022289.718872193</v>
      </c>
      <c r="O23" s="151"/>
      <c r="P23" s="377">
        <f t="shared" si="0"/>
        <v>0</v>
      </c>
    </row>
    <row r="24" spans="2:16">
      <c r="B24" s="134"/>
      <c r="C24" s="114"/>
      <c r="D24" s="474"/>
      <c r="E24" s="474"/>
      <c r="F24" s="131"/>
      <c r="G24" s="154"/>
      <c r="H24" s="131"/>
      <c r="I24" s="131"/>
      <c r="J24" s="214"/>
      <c r="K24" s="125"/>
      <c r="L24" s="378"/>
      <c r="M24" s="108"/>
      <c r="N24" s="377"/>
      <c r="O24" s="151"/>
      <c r="P24" s="377" t="str">
        <f t="shared" si="0"/>
        <v/>
      </c>
    </row>
    <row r="25" spans="2:16">
      <c r="B25" s="115">
        <f>+B23+1</f>
        <v>8</v>
      </c>
      <c r="C25" s="114"/>
      <c r="D25" s="373" t="s">
        <v>528</v>
      </c>
      <c r="E25" s="305"/>
      <c r="F25" s="138"/>
      <c r="G25" s="376"/>
      <c r="H25" s="138"/>
      <c r="I25" s="192"/>
      <c r="J25" s="138"/>
      <c r="K25" s="138"/>
      <c r="M25" s="108"/>
      <c r="N25" s="151"/>
      <c r="O25" s="151"/>
      <c r="P25" s="151" t="str">
        <f t="shared" si="0"/>
        <v/>
      </c>
    </row>
    <row r="26" spans="2:16">
      <c r="B26" s="134">
        <f>B25+1</f>
        <v>9</v>
      </c>
      <c r="C26" s="114"/>
      <c r="D26" s="135" t="s">
        <v>526</v>
      </c>
      <c r="E26" s="125" t="str">
        <f>"(ln "&amp;B11&amp;"/ ln "&amp;B79&amp;" x 100%)"</f>
        <v>(ln 1/ ln 39 x 100%)</v>
      </c>
      <c r="F26" s="133"/>
      <c r="G26" s="133"/>
      <c r="H26" s="133"/>
      <c r="I26" s="365"/>
      <c r="J26" s="365"/>
      <c r="K26" s="365"/>
      <c r="L26" s="364">
        <f>IF(L79=0,0,(L11)/L79)</f>
        <v>0.12877654205982725</v>
      </c>
      <c r="M26" s="108"/>
      <c r="N26" s="363">
        <v>0.12889768136968791</v>
      </c>
      <c r="O26" s="151"/>
      <c r="P26" s="363">
        <f t="shared" si="0"/>
        <v>1.2113930986065724E-4</v>
      </c>
    </row>
    <row r="27" spans="2:16">
      <c r="B27" s="134">
        <f>B26+1</f>
        <v>10</v>
      </c>
      <c r="C27" s="114"/>
      <c r="D27" s="135" t="s">
        <v>527</v>
      </c>
      <c r="E27" s="125" t="str">
        <f>"(ln "&amp;B26&amp;" / 12)"</f>
        <v>(ln 9 / 12)</v>
      </c>
      <c r="F27" s="133"/>
      <c r="G27" s="133"/>
      <c r="H27" s="133"/>
      <c r="I27" s="365"/>
      <c r="J27" s="365"/>
      <c r="K27" s="365"/>
      <c r="L27" s="375">
        <f>L26/12</f>
        <v>1.0731378504985603E-2</v>
      </c>
      <c r="M27" s="108"/>
      <c r="N27" s="374">
        <v>1.0741473447473992E-2</v>
      </c>
      <c r="O27" s="151"/>
      <c r="P27" s="374">
        <f t="shared" si="0"/>
        <v>1.0094942488388103E-5</v>
      </c>
    </row>
    <row r="28" spans="2:16">
      <c r="B28" s="134"/>
      <c r="C28" s="114"/>
      <c r="D28" s="135"/>
      <c r="E28" s="125"/>
      <c r="F28" s="133"/>
      <c r="G28" s="133"/>
      <c r="H28" s="133"/>
      <c r="I28" s="365"/>
      <c r="J28" s="365"/>
      <c r="K28" s="365"/>
      <c r="L28" s="375"/>
      <c r="M28" s="108"/>
      <c r="N28" s="374"/>
      <c r="O28" s="151"/>
      <c r="P28" s="374" t="str">
        <f t="shared" si="0"/>
        <v/>
      </c>
    </row>
    <row r="29" spans="2:16">
      <c r="B29" s="134">
        <f>B27+1</f>
        <v>11</v>
      </c>
      <c r="C29" s="114"/>
      <c r="D29" s="373" t="str">
        <f>"NET PLANT CARRYING CHARGE ON LINE "&amp;B26&amp;" , W/O DEPRECIATION (w/o incentives) (Note B)"</f>
        <v>NET PLANT CARRYING CHARGE ON LINE 9 , W/O DEPRECIATION (w/o incentives) (Note B)</v>
      </c>
      <c r="E29" s="125"/>
      <c r="F29" s="133"/>
      <c r="G29" s="133"/>
      <c r="H29" s="133"/>
      <c r="I29" s="365"/>
      <c r="J29" s="365"/>
      <c r="K29" s="365"/>
      <c r="L29" s="375"/>
      <c r="M29" s="108"/>
      <c r="N29" s="374"/>
      <c r="O29" s="151"/>
      <c r="P29" s="374" t="str">
        <f t="shared" si="0"/>
        <v/>
      </c>
    </row>
    <row r="30" spans="2:16">
      <c r="B30" s="134">
        <f>B29+1</f>
        <v>12</v>
      </c>
      <c r="C30" s="114"/>
      <c r="D30" s="135" t="s">
        <v>526</v>
      </c>
      <c r="E30" s="125" t="str">
        <f>"( (ln "&amp;B11&amp;" - ln "&amp;B147&amp;") / ln "&amp;B79&amp;" x 100%)"</f>
        <v>( (ln 1 - ln 82) / ln 39 x 100%)</v>
      </c>
      <c r="F30" s="133"/>
      <c r="G30" s="133"/>
      <c r="H30" s="133"/>
      <c r="I30" s="365"/>
      <c r="J30" s="365"/>
      <c r="K30" s="365"/>
      <c r="L30" s="364">
        <f>IF(L79=0,0,(L11-L147)/L79)</f>
        <v>0.10823528821194682</v>
      </c>
      <c r="M30" s="108"/>
      <c r="N30" s="363">
        <v>0.10836945941484127</v>
      </c>
      <c r="O30" s="151"/>
      <c r="P30" s="363">
        <f t="shared" si="0"/>
        <v>1.3417120289445361E-4</v>
      </c>
    </row>
    <row r="31" spans="2:16">
      <c r="B31" s="134"/>
      <c r="C31" s="114"/>
      <c r="D31" s="135"/>
      <c r="E31" s="125"/>
      <c r="F31" s="133"/>
      <c r="G31" s="133"/>
      <c r="H31" s="133"/>
      <c r="I31" s="365"/>
      <c r="J31" s="365"/>
      <c r="K31" s="365"/>
      <c r="L31" s="375"/>
      <c r="M31" s="108"/>
      <c r="N31" s="374"/>
      <c r="O31" s="151"/>
      <c r="P31" s="374" t="str">
        <f t="shared" si="0"/>
        <v/>
      </c>
    </row>
    <row r="32" spans="2:16">
      <c r="B32" s="134">
        <f>B30+1</f>
        <v>13</v>
      </c>
      <c r="C32" s="114"/>
      <c r="D32" s="373" t="str">
        <f>"NET PLANT CARRYING CHARGE ON LINE "&amp;B29&amp;", W/O  INCOME TAXES, RETURN  (Note B)"</f>
        <v>NET PLANT CARRYING CHARGE ON LINE 11, W/O  INCOME TAXES, RETURN  (Note B)</v>
      </c>
      <c r="E32" s="125"/>
      <c r="F32" s="133"/>
      <c r="G32" s="133"/>
      <c r="H32" s="133"/>
      <c r="I32" s="365"/>
      <c r="J32" s="365"/>
      <c r="K32" s="365"/>
      <c r="L32" s="372"/>
      <c r="M32" s="108"/>
      <c r="N32" s="371"/>
      <c r="O32" s="151"/>
      <c r="P32" s="371" t="str">
        <f t="shared" si="0"/>
        <v/>
      </c>
    </row>
    <row r="33" spans="2:16">
      <c r="B33" s="134">
        <f>B32+1</f>
        <v>14</v>
      </c>
      <c r="C33" s="114"/>
      <c r="D33" s="135" t="s">
        <v>526</v>
      </c>
      <c r="E33" s="125" t="str">
        <f>"( (ln "&amp;B11&amp;" - ln "&amp;B147&amp;" - ln "&amp;B172&amp;" - ln "&amp;B174&amp;") / ln "&amp;B79&amp;" x 100%)"</f>
        <v>( (ln 1 - ln 82 - ln 103 - ln 104) / ln 39 x 100%)</v>
      </c>
      <c r="F33" s="133"/>
      <c r="G33" s="133"/>
      <c r="H33" s="133"/>
      <c r="I33" s="365"/>
      <c r="J33" s="365"/>
      <c r="K33" s="365"/>
      <c r="L33" s="370">
        <f>IF(L79=0,0,(L11-L147-L172-L174)/L79)</f>
        <v>2.1762552909899511E-2</v>
      </c>
      <c r="M33" s="108"/>
      <c r="N33" s="418">
        <v>2.1726727344180283E-2</v>
      </c>
      <c r="O33" s="151"/>
      <c r="P33" s="418">
        <f t="shared" si="0"/>
        <v>-3.5825565719228153E-5</v>
      </c>
    </row>
    <row r="34" spans="2:16">
      <c r="B34" s="134"/>
      <c r="C34" s="114"/>
      <c r="D34" s="135"/>
      <c r="E34" s="125"/>
      <c r="F34" s="133"/>
      <c r="G34" s="133"/>
      <c r="H34" s="133"/>
      <c r="I34" s="365"/>
      <c r="J34" s="365"/>
      <c r="K34" s="365"/>
      <c r="L34" s="364"/>
      <c r="M34" s="108"/>
      <c r="N34" s="363"/>
      <c r="O34" s="151"/>
      <c r="P34" s="363" t="str">
        <f t="shared" si="0"/>
        <v/>
      </c>
    </row>
    <row r="35" spans="2:16">
      <c r="B35" s="134">
        <f>B33+1</f>
        <v>15</v>
      </c>
      <c r="C35" s="133"/>
      <c r="D35" s="368" t="s">
        <v>525</v>
      </c>
      <c r="E35" s="125"/>
      <c r="F35" s="133"/>
      <c r="G35" s="133"/>
      <c r="H35" s="133"/>
      <c r="I35" s="365"/>
      <c r="J35" s="365"/>
      <c r="K35" s="365"/>
      <c r="L35" s="367">
        <f>+'[5]OKT WS G BPU ATRR True-up'!P18</f>
        <v>0</v>
      </c>
      <c r="M35" s="108"/>
      <c r="N35" s="417">
        <v>0</v>
      </c>
      <c r="O35" s="151"/>
      <c r="P35" s="417">
        <f t="shared" si="0"/>
        <v>0</v>
      </c>
    </row>
    <row r="36" spans="2:16">
      <c r="B36" s="134"/>
      <c r="C36" s="133"/>
      <c r="D36" s="192"/>
      <c r="E36" s="125"/>
      <c r="F36" s="133"/>
      <c r="G36" s="133"/>
      <c r="H36" s="133"/>
      <c r="I36" s="365"/>
      <c r="J36" s="365"/>
      <c r="K36" s="365"/>
      <c r="L36" s="364"/>
      <c r="M36" s="108"/>
      <c r="N36" s="363"/>
      <c r="O36" s="151"/>
      <c r="P36" s="363" t="str">
        <f t="shared" si="0"/>
        <v/>
      </c>
    </row>
    <row r="37" spans="2:16">
      <c r="B37" s="104"/>
      <c r="C37" s="133"/>
      <c r="D37" s="192"/>
      <c r="E37" s="125"/>
      <c r="F37" s="133"/>
      <c r="G37" s="133"/>
      <c r="H37" s="133"/>
      <c r="I37" s="365"/>
      <c r="J37" s="365"/>
      <c r="K37" s="365"/>
      <c r="L37" s="364"/>
      <c r="M37" s="108"/>
      <c r="N37" s="363"/>
      <c r="O37" s="151"/>
      <c r="P37" s="363" t="str">
        <f t="shared" si="0"/>
        <v/>
      </c>
    </row>
    <row r="38" spans="2:16">
      <c r="B38" s="134"/>
      <c r="C38" s="133"/>
      <c r="D38" s="192"/>
      <c r="E38" s="125"/>
      <c r="F38" s="133"/>
      <c r="G38" s="133"/>
      <c r="H38" s="133"/>
      <c r="I38" s="365"/>
      <c r="J38" s="365"/>
      <c r="K38" s="365"/>
      <c r="L38" s="364"/>
      <c r="M38" s="108"/>
      <c r="N38" s="363"/>
      <c r="O38" s="151"/>
      <c r="P38" s="363" t="str">
        <f t="shared" si="0"/>
        <v/>
      </c>
    </row>
    <row r="39" spans="2:16">
      <c r="B39" s="134"/>
      <c r="C39" s="133"/>
      <c r="D39" s="192"/>
      <c r="E39" s="125"/>
      <c r="F39" s="133"/>
      <c r="G39" s="133"/>
      <c r="H39" s="133"/>
      <c r="I39" s="365"/>
      <c r="J39" s="365"/>
      <c r="K39" s="365"/>
      <c r="L39" s="364"/>
      <c r="M39" s="108"/>
      <c r="N39" s="363"/>
      <c r="O39" s="151"/>
      <c r="P39" s="363" t="str">
        <f t="shared" si="0"/>
        <v/>
      </c>
    </row>
    <row r="40" spans="2:16">
      <c r="B40" s="336"/>
      <c r="C40" s="192"/>
      <c r="D40" s="135"/>
      <c r="E40" s="135"/>
      <c r="G40" s="362"/>
      <c r="H40" s="135"/>
      <c r="I40" s="135"/>
      <c r="J40" s="135"/>
      <c r="K40" s="135"/>
      <c r="L40" s="135"/>
      <c r="M40" s="108"/>
      <c r="N40" s="245"/>
      <c r="O40" s="151"/>
      <c r="P40" s="245" t="str">
        <f t="shared" si="0"/>
        <v/>
      </c>
    </row>
    <row r="41" spans="2:16">
      <c r="B41" s="336"/>
      <c r="C41" s="192"/>
      <c r="D41" s="135"/>
      <c r="E41" s="135"/>
      <c r="F41" s="133"/>
      <c r="G41" s="362"/>
      <c r="H41" s="135"/>
      <c r="I41" s="135"/>
      <c r="J41" s="135"/>
      <c r="K41" s="135"/>
      <c r="L41" s="135"/>
      <c r="M41" s="108"/>
      <c r="N41" s="245"/>
      <c r="O41" s="151"/>
      <c r="P41" s="245" t="str">
        <f t="shared" si="0"/>
        <v/>
      </c>
    </row>
    <row r="42" spans="2:16">
      <c r="B42" s="336"/>
      <c r="C42" s="192"/>
      <c r="D42" s="135"/>
      <c r="E42" s="135"/>
      <c r="F42" s="133" t="str">
        <f>F3</f>
        <v xml:space="preserve">AEP West SPP Member Companies </v>
      </c>
      <c r="G42" s="362"/>
      <c r="H42" s="135"/>
      <c r="I42" s="135"/>
      <c r="J42" s="135"/>
      <c r="K42" s="135"/>
      <c r="L42" s="135"/>
      <c r="M42" s="108"/>
      <c r="N42" s="245"/>
      <c r="O42" s="151"/>
      <c r="P42" s="245" t="str">
        <f t="shared" si="0"/>
        <v/>
      </c>
    </row>
    <row r="43" spans="2:16">
      <c r="B43" s="336"/>
      <c r="C43" s="192"/>
      <c r="D43" s="135"/>
      <c r="E43" s="139"/>
      <c r="F43" s="133" t="str">
        <f>F4</f>
        <v>Transmission Cost of Service Formula Rate</v>
      </c>
      <c r="G43" s="139"/>
      <c r="H43" s="139"/>
      <c r="I43" s="139"/>
      <c r="J43" s="139"/>
      <c r="K43" s="139"/>
      <c r="L43" s="139"/>
      <c r="M43" s="108"/>
      <c r="N43" s="174"/>
      <c r="O43" s="151"/>
      <c r="P43" s="174" t="str">
        <f t="shared" si="0"/>
        <v/>
      </c>
    </row>
    <row r="44" spans="2:16">
      <c r="B44" s="336"/>
      <c r="C44" s="192"/>
      <c r="D44" s="135"/>
      <c r="E44" s="139"/>
      <c r="F44" s="204" t="str">
        <f>F5</f>
        <v>Utilizing Actual Cost Data for 2016 with Average Ratebase Balances</v>
      </c>
      <c r="G44" s="139"/>
      <c r="H44" s="139"/>
      <c r="I44" s="139"/>
      <c r="J44" s="139"/>
      <c r="K44" s="139"/>
      <c r="L44" s="139"/>
      <c r="M44" s="108"/>
      <c r="N44" s="174"/>
      <c r="O44" s="151"/>
      <c r="P44" s="174" t="str">
        <f t="shared" si="0"/>
        <v/>
      </c>
    </row>
    <row r="45" spans="2:16">
      <c r="B45" s="336"/>
      <c r="C45" s="192"/>
      <c r="D45" s="135"/>
      <c r="E45" s="139"/>
      <c r="F45" s="133"/>
      <c r="G45" s="139"/>
      <c r="H45" s="139"/>
      <c r="I45" s="139"/>
      <c r="J45" s="139"/>
      <c r="K45" s="139"/>
      <c r="L45" s="139"/>
      <c r="M45" s="108"/>
      <c r="N45" s="174"/>
      <c r="O45" s="151"/>
      <c r="P45" s="174" t="str">
        <f t="shared" si="0"/>
        <v/>
      </c>
    </row>
    <row r="46" spans="2:16">
      <c r="B46" s="336"/>
      <c r="C46" s="192"/>
      <c r="D46" s="135"/>
      <c r="E46" s="139"/>
      <c r="F46" s="133" t="str">
        <f>F7</f>
        <v>AEP OKLAHOMA TRANSMISSION COMPANY, INC</v>
      </c>
      <c r="G46" s="139"/>
      <c r="H46" s="139"/>
      <c r="I46" s="139"/>
      <c r="J46" s="139"/>
      <c r="K46" s="139"/>
      <c r="L46" s="139"/>
      <c r="M46" s="108"/>
      <c r="N46" s="174"/>
      <c r="O46" s="151"/>
      <c r="P46" s="174" t="str">
        <f t="shared" si="0"/>
        <v/>
      </c>
    </row>
    <row r="47" spans="2:16">
      <c r="B47" s="336"/>
      <c r="C47" s="192"/>
      <c r="D47" s="135"/>
      <c r="E47" s="204"/>
      <c r="F47" s="204"/>
      <c r="G47" s="204"/>
      <c r="H47" s="204"/>
      <c r="I47" s="204"/>
      <c r="J47" s="204"/>
      <c r="K47" s="204"/>
      <c r="L47" s="139"/>
      <c r="M47" s="108"/>
      <c r="N47" s="174"/>
      <c r="O47" s="151"/>
      <c r="P47" s="174" t="str">
        <f t="shared" si="0"/>
        <v/>
      </c>
    </row>
    <row r="48" spans="2:16">
      <c r="B48" s="336"/>
      <c r="C48" s="192"/>
      <c r="D48" s="133" t="s">
        <v>462</v>
      </c>
      <c r="E48" s="133" t="s">
        <v>461</v>
      </c>
      <c r="F48" s="133"/>
      <c r="G48" s="133" t="s">
        <v>460</v>
      </c>
      <c r="H48" s="139" t="s">
        <v>288</v>
      </c>
      <c r="I48" s="481" t="s">
        <v>459</v>
      </c>
      <c r="J48" s="482"/>
      <c r="K48" s="139"/>
      <c r="L48" s="335" t="s">
        <v>458</v>
      </c>
      <c r="M48" s="108"/>
      <c r="N48" s="334" t="s">
        <v>458</v>
      </c>
      <c r="O48" s="151"/>
      <c r="P48" s="334">
        <f t="shared" si="0"/>
        <v>0</v>
      </c>
    </row>
    <row r="49" spans="2:16">
      <c r="B49" s="104"/>
      <c r="C49" s="192"/>
      <c r="D49" s="108"/>
      <c r="E49" s="337"/>
      <c r="F49" s="108"/>
      <c r="G49" s="255"/>
      <c r="H49" s="139"/>
      <c r="I49" s="139"/>
      <c r="J49" s="333"/>
      <c r="K49" s="139"/>
      <c r="L49" s="192"/>
      <c r="M49" s="108"/>
      <c r="N49" s="242"/>
      <c r="O49" s="151"/>
      <c r="P49" s="242" t="str">
        <f t="shared" si="0"/>
        <v/>
      </c>
    </row>
    <row r="50" spans="2:16" ht="15.75">
      <c r="B50" s="332"/>
      <c r="C50" s="133"/>
      <c r="D50" s="108"/>
      <c r="E50" s="330" t="s">
        <v>524</v>
      </c>
      <c r="F50" s="331"/>
      <c r="G50" s="139"/>
      <c r="H50" s="139"/>
      <c r="I50" s="139"/>
      <c r="J50" s="133"/>
      <c r="K50" s="139"/>
      <c r="L50" s="361" t="s">
        <v>372</v>
      </c>
      <c r="M50" s="108"/>
      <c r="N50" s="360" t="s">
        <v>372</v>
      </c>
      <c r="O50" s="151"/>
      <c r="P50" s="360" t="s">
        <v>372</v>
      </c>
    </row>
    <row r="51" spans="2:16" ht="15.75">
      <c r="B51" s="104"/>
      <c r="C51" s="132"/>
      <c r="D51" s="322" t="s">
        <v>523</v>
      </c>
      <c r="E51" s="359" t="s">
        <v>522</v>
      </c>
      <c r="F51" s="139"/>
      <c r="G51" s="322" t="s">
        <v>521</v>
      </c>
      <c r="H51" s="191"/>
      <c r="I51" s="471" t="s">
        <v>520</v>
      </c>
      <c r="J51" s="472"/>
      <c r="K51" s="191"/>
      <c r="L51" s="322" t="s">
        <v>455</v>
      </c>
      <c r="M51" s="108"/>
      <c r="N51" s="321" t="s">
        <v>455</v>
      </c>
      <c r="O51" s="151"/>
      <c r="P51" s="321" t="s">
        <v>455</v>
      </c>
    </row>
    <row r="52" spans="2:16">
      <c r="B52" s="319" t="str">
        <f>B9</f>
        <v>Line</v>
      </c>
      <c r="C52" s="133"/>
      <c r="D52" s="135"/>
      <c r="E52" s="139"/>
      <c r="F52" s="139"/>
      <c r="G52" s="358" t="s">
        <v>519</v>
      </c>
      <c r="H52" s="139"/>
      <c r="I52" s="139"/>
      <c r="J52" s="139"/>
      <c r="K52" s="139"/>
      <c r="L52" s="139"/>
      <c r="M52" s="108"/>
      <c r="N52" s="174"/>
      <c r="O52" s="151"/>
      <c r="P52" s="174" t="str">
        <f t="shared" ref="P52:P83" si="1">IF(N52="","",N52-L52)</f>
        <v/>
      </c>
    </row>
    <row r="53" spans="2:16" ht="15.75" thickBot="1">
      <c r="B53" s="243" t="str">
        <f>B10</f>
        <v>No.</v>
      </c>
      <c r="C53" s="133"/>
      <c r="D53" s="135" t="s">
        <v>518</v>
      </c>
      <c r="E53" s="234"/>
      <c r="F53" s="234"/>
      <c r="G53" s="131"/>
      <c r="H53" s="131"/>
      <c r="I53" s="175"/>
      <c r="J53" s="131"/>
      <c r="K53" s="131"/>
      <c r="L53" s="131"/>
      <c r="M53" s="108"/>
      <c r="N53" s="174"/>
      <c r="O53" s="151"/>
      <c r="P53" s="174" t="str">
        <f t="shared" si="1"/>
        <v/>
      </c>
    </row>
    <row r="54" spans="2:16">
      <c r="B54" s="134">
        <f>+B35+1</f>
        <v>16</v>
      </c>
      <c r="C54" s="133"/>
      <c r="D54" s="217" t="s">
        <v>374</v>
      </c>
      <c r="E54" s="131"/>
      <c r="F54" s="131"/>
      <c r="G54" s="154"/>
      <c r="H54" s="154"/>
      <c r="I54" s="175"/>
      <c r="J54" s="214"/>
      <c r="K54" s="131"/>
      <c r="L54" s="154"/>
      <c r="M54" s="108"/>
      <c r="N54" s="209"/>
      <c r="O54" s="151"/>
      <c r="P54" s="209" t="str">
        <f t="shared" si="1"/>
        <v/>
      </c>
    </row>
    <row r="55" spans="2:16">
      <c r="B55" s="134">
        <f t="shared" ref="B55:B63" si="2">+B54+1</f>
        <v>17</v>
      </c>
      <c r="C55" s="133"/>
      <c r="D55" s="217" t="s">
        <v>374</v>
      </c>
      <c r="E55" s="131"/>
      <c r="F55" s="131"/>
      <c r="G55" s="154"/>
      <c r="H55" s="154"/>
      <c r="I55" s="175"/>
      <c r="J55" s="214"/>
      <c r="K55" s="131"/>
      <c r="L55" s="154"/>
      <c r="M55" s="108"/>
      <c r="N55" s="209"/>
      <c r="O55" s="151"/>
      <c r="P55" s="209" t="str">
        <f t="shared" si="1"/>
        <v/>
      </c>
    </row>
    <row r="56" spans="2:16">
      <c r="B56" s="134">
        <f t="shared" si="2"/>
        <v>18</v>
      </c>
      <c r="C56" s="338"/>
      <c r="D56" s="353" t="s">
        <v>378</v>
      </c>
      <c r="E56" s="352" t="str">
        <f>"(Worksheet A ln "&amp;'[5]OKT WS A RB Support '!A18&amp;".E &amp; Ln "&amp;B199&amp;")"</f>
        <v>(Worksheet A ln 3.E &amp; Ln 113)</v>
      </c>
      <c r="F56" s="351"/>
      <c r="G56" s="154">
        <f>+'[5]OKT WS A RB Support '!G18</f>
        <v>536477054.5</v>
      </c>
      <c r="H56" s="154"/>
      <c r="I56" s="311" t="s">
        <v>269</v>
      </c>
      <c r="J56" s="131"/>
      <c r="K56" s="310"/>
      <c r="L56" s="309">
        <f>+L199</f>
        <v>505617741.92000002</v>
      </c>
      <c r="M56" s="108"/>
      <c r="N56" s="308">
        <v>536477054.5</v>
      </c>
      <c r="O56" s="151"/>
      <c r="P56" s="308">
        <f t="shared" si="1"/>
        <v>30859312.579999983</v>
      </c>
    </row>
    <row r="57" spans="2:16">
      <c r="B57" s="134">
        <f t="shared" si="2"/>
        <v>19</v>
      </c>
      <c r="C57" s="338"/>
      <c r="D57" s="155" t="s">
        <v>506</v>
      </c>
      <c r="E57" s="131" t="s">
        <v>517</v>
      </c>
      <c r="F57" s="351"/>
      <c r="G57" s="154">
        <f>-+'[5]OKT WS A RB Support '!G20</f>
        <v>0</v>
      </c>
      <c r="H57" s="154"/>
      <c r="I57" s="311" t="s">
        <v>264</v>
      </c>
      <c r="J57" s="214">
        <f>VLOOKUP(I57,PSO_TU_Allocators,2,FALSE)</f>
        <v>0.94247785190223832</v>
      </c>
      <c r="K57" s="310"/>
      <c r="L57" s="309">
        <f>+G57*J57</f>
        <v>0</v>
      </c>
      <c r="M57" s="108"/>
      <c r="N57" s="308">
        <v>0</v>
      </c>
      <c r="O57" s="151"/>
      <c r="P57" s="308">
        <f t="shared" si="1"/>
        <v>0</v>
      </c>
    </row>
    <row r="58" spans="2:16">
      <c r="B58" s="134">
        <f t="shared" si="2"/>
        <v>20</v>
      </c>
      <c r="C58" s="338"/>
      <c r="D58" s="217" t="s">
        <v>374</v>
      </c>
      <c r="E58" s="131"/>
      <c r="F58" s="131"/>
      <c r="G58" s="154"/>
      <c r="H58" s="154"/>
      <c r="I58" s="175"/>
      <c r="J58" s="214"/>
      <c r="K58" s="131"/>
      <c r="L58" s="154"/>
      <c r="M58" s="108"/>
      <c r="N58" s="209"/>
      <c r="O58" s="151"/>
      <c r="P58" s="209" t="str">
        <f t="shared" si="1"/>
        <v/>
      </c>
    </row>
    <row r="59" spans="2:16">
      <c r="B59" s="134">
        <f t="shared" si="2"/>
        <v>21</v>
      </c>
      <c r="C59" s="338"/>
      <c r="D59" s="217" t="s">
        <v>374</v>
      </c>
      <c r="E59" s="131"/>
      <c r="F59" s="131"/>
      <c r="G59" s="154"/>
      <c r="H59" s="154"/>
      <c r="I59" s="175"/>
      <c r="J59" s="214"/>
      <c r="K59" s="131"/>
      <c r="L59" s="154"/>
      <c r="M59" s="108"/>
      <c r="N59" s="209"/>
      <c r="O59" s="151"/>
      <c r="P59" s="209" t="str">
        <f t="shared" si="1"/>
        <v/>
      </c>
    </row>
    <row r="60" spans="2:16">
      <c r="B60" s="134">
        <f t="shared" si="2"/>
        <v>22</v>
      </c>
      <c r="C60" s="338"/>
      <c r="D60" s="135" t="s">
        <v>516</v>
      </c>
      <c r="E60" s="131" t="s">
        <v>515</v>
      </c>
      <c r="F60" s="343"/>
      <c r="G60" s="154">
        <f>+'[5]OKT WS A RB Support '!G26</f>
        <v>8437125</v>
      </c>
      <c r="H60" s="154"/>
      <c r="I60" s="175" t="s">
        <v>262</v>
      </c>
      <c r="J60" s="214">
        <f>VLOOKUP(I60,PSO_TU_Allocators,2,FALSE)</f>
        <v>0.94247785190223832</v>
      </c>
      <c r="K60" s="131"/>
      <c r="L60" s="154">
        <f>+J60*G60</f>
        <v>7951803.4462306723</v>
      </c>
      <c r="M60" s="108"/>
      <c r="N60" s="209">
        <v>8437125</v>
      </c>
      <c r="O60" s="151"/>
      <c r="P60" s="209">
        <f t="shared" si="1"/>
        <v>485321.5537693277</v>
      </c>
    </row>
    <row r="61" spans="2:16">
      <c r="B61" s="134">
        <f t="shared" si="2"/>
        <v>23</v>
      </c>
      <c r="C61" s="338"/>
      <c r="D61" s="205" t="s">
        <v>502</v>
      </c>
      <c r="E61" s="131" t="s">
        <v>514</v>
      </c>
      <c r="F61" s="343"/>
      <c r="G61" s="177">
        <f>-'[5]OKT WS A RB Support '!G28</f>
        <v>0</v>
      </c>
      <c r="H61" s="154"/>
      <c r="I61" s="175" t="s">
        <v>262</v>
      </c>
      <c r="J61" s="214">
        <f>VLOOKUP(I61,PSO_TU_Allocators,2,FALSE)</f>
        <v>0.94247785190223832</v>
      </c>
      <c r="K61" s="131"/>
      <c r="L61" s="154">
        <f>+G61*J61</f>
        <v>0</v>
      </c>
      <c r="M61" s="108"/>
      <c r="N61" s="209">
        <v>0</v>
      </c>
      <c r="O61" s="151"/>
      <c r="P61" s="209">
        <f t="shared" si="1"/>
        <v>0</v>
      </c>
    </row>
    <row r="62" spans="2:16" ht="15.75" thickBot="1">
      <c r="B62" s="134">
        <f t="shared" si="2"/>
        <v>24</v>
      </c>
      <c r="C62" s="338"/>
      <c r="D62" s="135" t="s">
        <v>513</v>
      </c>
      <c r="E62" s="131" t="s">
        <v>512</v>
      </c>
      <c r="F62" s="343"/>
      <c r="G62" s="163">
        <f>+'[5]OKT WS A RB Support '!G30</f>
        <v>3191777</v>
      </c>
      <c r="H62" s="154"/>
      <c r="I62" s="175" t="s">
        <v>262</v>
      </c>
      <c r="J62" s="214">
        <f>VLOOKUP(I62,PSO_TU_Allocators,2,FALSE)</f>
        <v>0.94247785190223832</v>
      </c>
      <c r="K62" s="131"/>
      <c r="L62" s="163">
        <f>+J62*G62</f>
        <v>3008179.1307109706</v>
      </c>
      <c r="M62" s="108"/>
      <c r="N62" s="211">
        <v>3191777</v>
      </c>
      <c r="O62" s="157"/>
      <c r="P62" s="211">
        <f t="shared" si="1"/>
        <v>183597.86928902939</v>
      </c>
    </row>
    <row r="63" spans="2:16" ht="15.75">
      <c r="B63" s="332">
        <f t="shared" si="2"/>
        <v>25</v>
      </c>
      <c r="C63" s="338"/>
      <c r="D63" s="135" t="s">
        <v>511</v>
      </c>
      <c r="E63" s="133" t="str">
        <f>"(sum lns "&amp;B54&amp;" to "&amp;B62&amp;")"</f>
        <v>(sum lns 16 to 24)</v>
      </c>
      <c r="F63" s="116"/>
      <c r="G63" s="154">
        <f>SUM(G54:G62)</f>
        <v>548105956.5</v>
      </c>
      <c r="H63" s="154"/>
      <c r="I63" s="356" t="s">
        <v>510</v>
      </c>
      <c r="J63" s="346">
        <f>IF(G63=0,0,L63/G63)</f>
        <v>0.94247785190223821</v>
      </c>
      <c r="K63" s="131"/>
      <c r="L63" s="154">
        <f>SUM(L54:L62)</f>
        <v>516577724.49694163</v>
      </c>
      <c r="M63" s="108"/>
      <c r="N63" s="209">
        <v>548105956.5</v>
      </c>
      <c r="O63" s="157"/>
      <c r="P63" s="209">
        <f t="shared" si="1"/>
        <v>31528232.003058374</v>
      </c>
    </row>
    <row r="64" spans="2:16" ht="15.75">
      <c r="B64" s="332"/>
      <c r="C64" s="133"/>
      <c r="D64" s="135"/>
      <c r="E64" s="357"/>
      <c r="F64" s="116"/>
      <c r="G64" s="154"/>
      <c r="H64" s="154"/>
      <c r="I64" s="356" t="s">
        <v>509</v>
      </c>
      <c r="J64" s="250">
        <f>+G56/(++G56+G58)</f>
        <v>1</v>
      </c>
      <c r="K64" s="131"/>
      <c r="L64" s="154"/>
      <c r="M64" s="108"/>
      <c r="N64" s="209"/>
      <c r="O64" s="157"/>
      <c r="P64" s="209" t="str">
        <f t="shared" si="1"/>
        <v/>
      </c>
    </row>
    <row r="65" spans="2:16">
      <c r="B65" s="134">
        <f>+B63+1</f>
        <v>26</v>
      </c>
      <c r="C65" s="133"/>
      <c r="D65" s="135" t="s">
        <v>508</v>
      </c>
      <c r="E65" s="234"/>
      <c r="F65" s="234"/>
      <c r="G65" s="154"/>
      <c r="H65" s="355"/>
      <c r="I65" s="175"/>
      <c r="J65" s="354"/>
      <c r="K65" s="131"/>
      <c r="L65" s="154"/>
      <c r="M65" s="108"/>
      <c r="N65" s="209"/>
      <c r="O65" s="269"/>
      <c r="P65" s="209" t="str">
        <f t="shared" si="1"/>
        <v/>
      </c>
    </row>
    <row r="66" spans="2:16">
      <c r="B66" s="134">
        <f t="shared" ref="B66:B75" si="3">+B65+1</f>
        <v>27</v>
      </c>
      <c r="C66" s="133"/>
      <c r="D66" s="217" t="s">
        <v>374</v>
      </c>
      <c r="E66" s="131"/>
      <c r="F66" s="131"/>
      <c r="G66" s="154"/>
      <c r="H66" s="154"/>
      <c r="I66" s="175"/>
      <c r="J66" s="214"/>
      <c r="K66" s="131"/>
      <c r="L66" s="154"/>
      <c r="M66" s="108"/>
      <c r="N66" s="209"/>
      <c r="O66" s="269"/>
      <c r="P66" s="209" t="str">
        <f t="shared" si="1"/>
        <v/>
      </c>
    </row>
    <row r="67" spans="2:16">
      <c r="B67" s="134">
        <f t="shared" si="3"/>
        <v>28</v>
      </c>
      <c r="C67" s="133"/>
      <c r="D67" s="217" t="s">
        <v>374</v>
      </c>
      <c r="E67" s="131"/>
      <c r="F67" s="131"/>
      <c r="G67" s="154"/>
      <c r="H67" s="154"/>
      <c r="I67" s="175"/>
      <c r="J67" s="214"/>
      <c r="K67" s="131"/>
      <c r="L67" s="154"/>
      <c r="M67" s="108"/>
      <c r="N67" s="209"/>
      <c r="O67" s="269"/>
      <c r="P67" s="209" t="str">
        <f t="shared" si="1"/>
        <v/>
      </c>
    </row>
    <row r="68" spans="2:16" ht="15.75">
      <c r="B68" s="134">
        <f t="shared" si="3"/>
        <v>29</v>
      </c>
      <c r="C68" s="338"/>
      <c r="D68" s="353" t="str">
        <f>D56</f>
        <v xml:space="preserve">  Transmission</v>
      </c>
      <c r="E68" s="352" t="s">
        <v>507</v>
      </c>
      <c r="F68" s="351"/>
      <c r="G68" s="309">
        <f>+'[5]OKT WS A RB Support '!G42</f>
        <v>21643107.579999998</v>
      </c>
      <c r="H68" s="154"/>
      <c r="I68" s="350" t="s">
        <v>504</v>
      </c>
      <c r="J68" s="313">
        <f>IF(G68=0,0,L68/G68)</f>
        <v>1</v>
      </c>
      <c r="K68" s="310"/>
      <c r="L68" s="154">
        <f>+'[5]OKT WS A RB Support '!G74</f>
        <v>21643107.579999998</v>
      </c>
      <c r="M68" s="108"/>
      <c r="N68" s="209">
        <v>22638056.5</v>
      </c>
      <c r="O68" s="269"/>
      <c r="P68" s="209">
        <f t="shared" si="1"/>
        <v>994948.92000000179</v>
      </c>
    </row>
    <row r="69" spans="2:16" ht="15.75">
      <c r="B69" s="134">
        <f t="shared" si="3"/>
        <v>30</v>
      </c>
      <c r="C69" s="338"/>
      <c r="D69" s="205" t="s">
        <v>506</v>
      </c>
      <c r="E69" s="131" t="s">
        <v>505</v>
      </c>
      <c r="F69" s="351"/>
      <c r="G69" s="177">
        <f>-'[5]OKT WS A RB Support '!G44</f>
        <v>0</v>
      </c>
      <c r="H69" s="154"/>
      <c r="I69" s="350" t="s">
        <v>504</v>
      </c>
      <c r="J69" s="214">
        <f>+J68</f>
        <v>1</v>
      </c>
      <c r="K69" s="310"/>
      <c r="L69" s="154">
        <f>+J69*G69</f>
        <v>0</v>
      </c>
      <c r="M69" s="108"/>
      <c r="N69" s="209">
        <v>0</v>
      </c>
      <c r="O69" s="269"/>
      <c r="P69" s="209">
        <f t="shared" si="1"/>
        <v>0</v>
      </c>
    </row>
    <row r="70" spans="2:16">
      <c r="B70" s="134">
        <f t="shared" si="3"/>
        <v>31</v>
      </c>
      <c r="C70" s="338"/>
      <c r="D70" s="217" t="s">
        <v>374</v>
      </c>
      <c r="E70" s="131"/>
      <c r="F70" s="131"/>
      <c r="G70" s="154"/>
      <c r="H70" s="154"/>
      <c r="I70" s="175"/>
      <c r="J70" s="214"/>
      <c r="K70" s="131"/>
      <c r="L70" s="154"/>
      <c r="M70" s="108"/>
      <c r="N70" s="209"/>
      <c r="O70" s="269"/>
      <c r="P70" s="209" t="str">
        <f t="shared" si="1"/>
        <v/>
      </c>
    </row>
    <row r="71" spans="2:16">
      <c r="B71" s="134">
        <f t="shared" si="3"/>
        <v>32</v>
      </c>
      <c r="C71" s="338"/>
      <c r="D71" s="217" t="s">
        <v>374</v>
      </c>
      <c r="E71" s="131"/>
      <c r="F71" s="131"/>
      <c r="G71" s="154"/>
      <c r="H71" s="154"/>
      <c r="I71" s="175"/>
      <c r="J71" s="214"/>
      <c r="K71" s="131"/>
      <c r="L71" s="154"/>
      <c r="M71" s="108"/>
      <c r="N71" s="209"/>
      <c r="O71" s="269"/>
      <c r="P71" s="209" t="str">
        <f t="shared" si="1"/>
        <v/>
      </c>
    </row>
    <row r="72" spans="2:16">
      <c r="B72" s="134">
        <f t="shared" si="3"/>
        <v>33</v>
      </c>
      <c r="C72" s="341"/>
      <c r="D72" s="119" t="str">
        <f>+D60</f>
        <v xml:space="preserve">  General Plant   </v>
      </c>
      <c r="E72" s="131" t="s">
        <v>503</v>
      </c>
      <c r="F72" s="343"/>
      <c r="G72" s="237">
        <f>+'[5]OKT WS A RB Support '!G50</f>
        <v>0</v>
      </c>
      <c r="H72" s="154"/>
      <c r="I72" s="175" t="s">
        <v>262</v>
      </c>
      <c r="J72" s="214">
        <f>VLOOKUP(I72,PSO_TU_Allocators,2,FALSE)</f>
        <v>0.94247785190223832</v>
      </c>
      <c r="K72" s="131"/>
      <c r="L72" s="154">
        <f>+J72*G72</f>
        <v>0</v>
      </c>
      <c r="M72" s="108"/>
      <c r="N72" s="209">
        <v>0</v>
      </c>
      <c r="O72" s="269"/>
      <c r="P72" s="209">
        <f t="shared" si="1"/>
        <v>0</v>
      </c>
    </row>
    <row r="73" spans="2:16">
      <c r="B73" s="134">
        <f t="shared" si="3"/>
        <v>34</v>
      </c>
      <c r="C73" s="341"/>
      <c r="D73" s="205" t="s">
        <v>502</v>
      </c>
      <c r="E73" s="131" t="s">
        <v>501</v>
      </c>
      <c r="F73" s="343"/>
      <c r="G73" s="177">
        <f>-'[5]OKT WS A RB Support '!G52</f>
        <v>0</v>
      </c>
      <c r="H73" s="154"/>
      <c r="I73" s="175" t="s">
        <v>262</v>
      </c>
      <c r="J73" s="214">
        <f>VLOOKUP(I73,PSO_TU_Allocators,2,FALSE)</f>
        <v>0.94247785190223832</v>
      </c>
      <c r="K73" s="131"/>
      <c r="L73" s="154">
        <f>+J73*G73</f>
        <v>0</v>
      </c>
      <c r="M73" s="108"/>
      <c r="N73" s="209">
        <v>0</v>
      </c>
      <c r="O73" s="269"/>
      <c r="P73" s="209">
        <f t="shared" si="1"/>
        <v>0</v>
      </c>
    </row>
    <row r="74" spans="2:16" ht="15.75" thickBot="1">
      <c r="B74" s="134">
        <f t="shared" si="3"/>
        <v>35</v>
      </c>
      <c r="C74" s="341"/>
      <c r="D74" s="119" t="str">
        <f>+D62</f>
        <v xml:space="preserve">  Intangible Plant</v>
      </c>
      <c r="E74" s="131" t="s">
        <v>500</v>
      </c>
      <c r="F74" s="343"/>
      <c r="G74" s="163">
        <f>+'[5]OKT WS A RB Support '!G54</f>
        <v>1050649.5</v>
      </c>
      <c r="H74" s="154"/>
      <c r="I74" s="175" t="s">
        <v>262</v>
      </c>
      <c r="J74" s="214">
        <f>VLOOKUP(I74,PSO_TU_Allocators,2,FALSE)</f>
        <v>0.94247785190223832</v>
      </c>
      <c r="K74" s="131"/>
      <c r="L74" s="163">
        <f>+J74*G74</f>
        <v>990213.88386216073</v>
      </c>
      <c r="M74" s="108"/>
      <c r="N74" s="211">
        <v>1050649.5</v>
      </c>
      <c r="O74" s="269"/>
      <c r="P74" s="211">
        <f t="shared" si="1"/>
        <v>60435.616137839272</v>
      </c>
    </row>
    <row r="75" spans="2:16">
      <c r="B75" s="134">
        <f t="shared" si="3"/>
        <v>36</v>
      </c>
      <c r="C75" s="341"/>
      <c r="D75" s="119" t="s">
        <v>499</v>
      </c>
      <c r="E75" s="349" t="str">
        <f>"(sum lns "&amp;B66&amp;" to "&amp;B74&amp;")"</f>
        <v>(sum lns 27 to 35)</v>
      </c>
      <c r="F75" s="347"/>
      <c r="G75" s="154">
        <f>SUM(G66:G74)</f>
        <v>22693757.079999998</v>
      </c>
      <c r="H75" s="154"/>
      <c r="I75" s="175"/>
      <c r="J75" s="131"/>
      <c r="K75" s="154"/>
      <c r="L75" s="154">
        <f>SUM(L66:L74)</f>
        <v>22633321.463862158</v>
      </c>
      <c r="M75" s="108"/>
      <c r="N75" s="209">
        <v>23688706</v>
      </c>
      <c r="O75" s="269"/>
      <c r="P75" s="209">
        <f t="shared" si="1"/>
        <v>1055384.5361378416</v>
      </c>
    </row>
    <row r="76" spans="2:16">
      <c r="B76" s="134"/>
      <c r="C76" s="133"/>
      <c r="D76" s="192"/>
      <c r="E76" s="348"/>
      <c r="F76" s="347"/>
      <c r="G76" s="154"/>
      <c r="H76" s="154"/>
      <c r="I76" s="175"/>
      <c r="J76" s="344"/>
      <c r="K76" s="131"/>
      <c r="L76" s="154"/>
      <c r="M76" s="108"/>
      <c r="N76" s="209"/>
      <c r="O76" s="269"/>
      <c r="P76" s="209" t="str">
        <f t="shared" si="1"/>
        <v/>
      </c>
    </row>
    <row r="77" spans="2:16">
      <c r="B77" s="134">
        <f>+B75+1</f>
        <v>37</v>
      </c>
      <c r="C77" s="133"/>
      <c r="D77" s="135" t="s">
        <v>498</v>
      </c>
      <c r="E77" s="234"/>
      <c r="F77" s="234"/>
      <c r="G77" s="154"/>
      <c r="H77" s="154"/>
      <c r="I77" s="175"/>
      <c r="J77" s="131"/>
      <c r="K77" s="131"/>
      <c r="L77" s="154"/>
      <c r="M77" s="108"/>
      <c r="N77" s="209"/>
      <c r="O77" s="269"/>
      <c r="P77" s="209" t="str">
        <f t="shared" si="1"/>
        <v/>
      </c>
    </row>
    <row r="78" spans="2:16">
      <c r="B78" s="332">
        <f t="shared" ref="B78:B83" si="4">+B77+1</f>
        <v>38</v>
      </c>
      <c r="C78" s="338"/>
      <c r="D78" s="217" t="s">
        <v>374</v>
      </c>
      <c r="E78" s="131"/>
      <c r="F78" s="131"/>
      <c r="G78" s="154"/>
      <c r="H78" s="154"/>
      <c r="I78" s="175"/>
      <c r="J78" s="214"/>
      <c r="K78" s="131"/>
      <c r="L78" s="154"/>
      <c r="M78" s="108"/>
      <c r="N78" s="209"/>
      <c r="O78" s="269"/>
      <c r="P78" s="209" t="str">
        <f t="shared" si="1"/>
        <v/>
      </c>
    </row>
    <row r="79" spans="2:16">
      <c r="B79" s="332">
        <f t="shared" si="4"/>
        <v>39</v>
      </c>
      <c r="C79" s="338"/>
      <c r="D79" s="205" t="str">
        <f>+D68</f>
        <v xml:space="preserve">  Transmission</v>
      </c>
      <c r="E79" s="131" t="str">
        <f>" (ln "&amp;B56&amp;" + ln "&amp;B57&amp;" - ln "&amp;B68&amp;" - ln "&amp;B69&amp;")"</f>
        <v xml:space="preserve"> (ln 18 + ln 19 - ln 29 - ln 30)</v>
      </c>
      <c r="F79" s="343"/>
      <c r="G79" s="154">
        <f>+G56+G57-G68-G69</f>
        <v>514833946.92000002</v>
      </c>
      <c r="H79" s="154"/>
      <c r="I79" s="175"/>
      <c r="J79" s="313"/>
      <c r="K79" s="131"/>
      <c r="L79" s="154">
        <f>+L56+L57-L68-L69</f>
        <v>483974634.34000003</v>
      </c>
      <c r="M79" s="108"/>
      <c r="N79" s="209">
        <v>513838998</v>
      </c>
      <c r="O79" s="269"/>
      <c r="P79" s="209">
        <f t="shared" si="1"/>
        <v>29864363.659999967</v>
      </c>
    </row>
    <row r="80" spans="2:16">
      <c r="B80" s="332">
        <f t="shared" si="4"/>
        <v>40</v>
      </c>
      <c r="C80" s="338"/>
      <c r="D80" s="217" t="s">
        <v>374</v>
      </c>
      <c r="E80" s="131"/>
      <c r="F80" s="131"/>
      <c r="G80" s="154"/>
      <c r="H80" s="154"/>
      <c r="I80" s="175"/>
      <c r="J80" s="214"/>
      <c r="K80" s="131"/>
      <c r="L80" s="154"/>
      <c r="M80" s="108"/>
      <c r="N80" s="209"/>
      <c r="O80" s="269"/>
      <c r="P80" s="209" t="str">
        <f t="shared" si="1"/>
        <v/>
      </c>
    </row>
    <row r="81" spans="2:16">
      <c r="B81" s="332">
        <f t="shared" si="4"/>
        <v>41</v>
      </c>
      <c r="C81" s="338"/>
      <c r="D81" s="205" t="str">
        <f>+D72</f>
        <v xml:space="preserve">  General Plant   </v>
      </c>
      <c r="E81" s="131" t="str">
        <f>" (ln "&amp;B60&amp;" + ln "&amp;B61&amp;" - ln "&amp;B72&amp;" - ln "&amp;B73&amp;")"</f>
        <v xml:space="preserve"> (ln 22 + ln 23 - ln 33 - ln 34)</v>
      </c>
      <c r="F81" s="131"/>
      <c r="G81" s="154">
        <f>+G60+G61-G72-G73</f>
        <v>8437125</v>
      </c>
      <c r="H81" s="154"/>
      <c r="I81" s="175"/>
      <c r="J81" s="344"/>
      <c r="K81" s="131"/>
      <c r="L81" s="154">
        <f>+L60+L61-L72-L73</f>
        <v>7951803.4462306723</v>
      </c>
      <c r="M81" s="108"/>
      <c r="N81" s="209">
        <v>8437125</v>
      </c>
      <c r="O81" s="269"/>
      <c r="P81" s="209">
        <f t="shared" si="1"/>
        <v>485321.5537693277</v>
      </c>
    </row>
    <row r="82" spans="2:16" ht="15.75" thickBot="1">
      <c r="B82" s="332">
        <f t="shared" si="4"/>
        <v>42</v>
      </c>
      <c r="C82" s="338"/>
      <c r="D82" s="205" t="str">
        <f>+D74</f>
        <v xml:space="preserve">  Intangible Plant</v>
      </c>
      <c r="E82" s="131" t="str">
        <f>" (ln "&amp;B62&amp;" - ln "&amp;B74&amp;")"</f>
        <v xml:space="preserve"> (ln 24 - ln 35)</v>
      </c>
      <c r="F82" s="131"/>
      <c r="G82" s="163">
        <f>+G62-G74</f>
        <v>2141127.5</v>
      </c>
      <c r="H82" s="154"/>
      <c r="I82" s="175"/>
      <c r="J82" s="344"/>
      <c r="K82" s="131"/>
      <c r="L82" s="163">
        <f>+L62-L74</f>
        <v>2017965.24684881</v>
      </c>
      <c r="M82" s="108"/>
      <c r="N82" s="211">
        <v>2141127.5</v>
      </c>
      <c r="O82" s="269"/>
      <c r="P82" s="211">
        <f t="shared" si="1"/>
        <v>123162.25315119</v>
      </c>
    </row>
    <row r="83" spans="2:16" ht="15.75">
      <c r="B83" s="332">
        <f t="shared" si="4"/>
        <v>43</v>
      </c>
      <c r="C83" s="338"/>
      <c r="D83" s="205" t="s">
        <v>497</v>
      </c>
      <c r="E83" s="205" t="str">
        <f>"(sum lns "&amp;B78&amp;" to "&amp;B82&amp;")"</f>
        <v>(sum lns 38 to 42)</v>
      </c>
      <c r="F83" s="131"/>
      <c r="G83" s="154">
        <f>SUM(G78:G82)</f>
        <v>525412199.42000002</v>
      </c>
      <c r="H83" s="154"/>
      <c r="I83" s="153" t="s">
        <v>496</v>
      </c>
      <c r="J83" s="346">
        <f>IF(G83=0,0,L83/G83)</f>
        <v>0.94010836363971439</v>
      </c>
      <c r="K83" s="131"/>
      <c r="L83" s="154">
        <f>SUM(L79:L82)</f>
        <v>493944403.0330795</v>
      </c>
      <c r="M83" s="108"/>
      <c r="N83" s="209">
        <v>524417250.5</v>
      </c>
      <c r="O83" s="269"/>
      <c r="P83" s="209">
        <f t="shared" si="1"/>
        <v>30472847.466920495</v>
      </c>
    </row>
    <row r="84" spans="2:16">
      <c r="B84" s="134"/>
      <c r="C84" s="133"/>
      <c r="D84" s="135"/>
      <c r="E84" s="131"/>
      <c r="F84" s="131"/>
      <c r="G84" s="154"/>
      <c r="H84" s="154"/>
      <c r="I84" s="120"/>
      <c r="J84" s="126"/>
      <c r="K84" s="131"/>
      <c r="L84" s="154"/>
      <c r="M84" s="108"/>
      <c r="N84" s="209"/>
      <c r="O84" s="269"/>
      <c r="P84" s="209" t="str">
        <f t="shared" ref="P84:P115" si="5">IF(N84="","",N84-L84)</f>
        <v/>
      </c>
    </row>
    <row r="85" spans="2:16">
      <c r="B85" s="134"/>
      <c r="C85" s="133"/>
      <c r="D85" s="192"/>
      <c r="G85" s="108"/>
      <c r="H85" s="108"/>
      <c r="I85" s="108"/>
      <c r="J85" s="108"/>
      <c r="K85" s="108"/>
      <c r="L85" s="108"/>
      <c r="M85" s="108"/>
      <c r="N85" s="317"/>
      <c r="O85" s="269"/>
      <c r="P85" s="317" t="str">
        <f t="shared" si="5"/>
        <v/>
      </c>
    </row>
    <row r="86" spans="2:16">
      <c r="B86" s="134">
        <f>+B83+1</f>
        <v>44</v>
      </c>
      <c r="C86" s="133"/>
      <c r="D86" s="135" t="s">
        <v>495</v>
      </c>
      <c r="E86" s="131" t="s">
        <v>494</v>
      </c>
      <c r="F86" s="175"/>
      <c r="G86" s="108"/>
      <c r="H86" s="108"/>
      <c r="I86" s="108"/>
      <c r="J86" s="108"/>
      <c r="K86" s="108"/>
      <c r="L86" s="108"/>
      <c r="M86" s="108"/>
      <c r="N86" s="317"/>
      <c r="O86" s="269"/>
      <c r="P86" s="317" t="str">
        <f t="shared" si="5"/>
        <v/>
      </c>
    </row>
    <row r="87" spans="2:16">
      <c r="B87" s="332">
        <f t="shared" ref="B87:B92" si="6">+B86+1</f>
        <v>45</v>
      </c>
      <c r="C87" s="338"/>
      <c r="D87" s="155" t="s">
        <v>493</v>
      </c>
      <c r="E87" s="131" t="s">
        <v>492</v>
      </c>
      <c r="F87" s="131"/>
      <c r="G87" s="154">
        <f>+'[5]OKT Historic TCOS'!G97</f>
        <v>0</v>
      </c>
      <c r="H87" s="154"/>
      <c r="I87" s="175" t="s">
        <v>266</v>
      </c>
      <c r="J87" s="214"/>
      <c r="K87" s="131"/>
      <c r="L87" s="154">
        <v>0</v>
      </c>
      <c r="M87" s="108"/>
      <c r="N87" s="209">
        <v>0</v>
      </c>
      <c r="O87" s="269"/>
      <c r="P87" s="209">
        <f t="shared" si="5"/>
        <v>0</v>
      </c>
    </row>
    <row r="88" spans="2:16">
      <c r="B88" s="332">
        <f t="shared" si="6"/>
        <v>46</v>
      </c>
      <c r="C88" s="338"/>
      <c r="D88" s="155" t="s">
        <v>491</v>
      </c>
      <c r="E88" s="131" t="s">
        <v>490</v>
      </c>
      <c r="F88" s="343"/>
      <c r="G88" s="154">
        <f>+'[5]OKT WS C RB Tax'!D27</f>
        <v>-102490379.48499998</v>
      </c>
      <c r="H88" s="154"/>
      <c r="I88" s="175" t="s">
        <v>269</v>
      </c>
      <c r="J88" s="214"/>
      <c r="K88" s="131"/>
      <c r="L88" s="154">
        <f>+'[5]OKT WS C RB Tax'!J29</f>
        <v>-96437305.211112067</v>
      </c>
      <c r="M88" s="108"/>
      <c r="N88" s="209">
        <v>-102487725.43499999</v>
      </c>
      <c r="O88" s="269"/>
      <c r="P88" s="209">
        <f t="shared" si="5"/>
        <v>-6050420.2238879204</v>
      </c>
    </row>
    <row r="89" spans="2:16">
      <c r="B89" s="332">
        <f t="shared" si="6"/>
        <v>47</v>
      </c>
      <c r="C89" s="338"/>
      <c r="D89" s="155" t="s">
        <v>489</v>
      </c>
      <c r="E89" s="131" t="s">
        <v>488</v>
      </c>
      <c r="F89" s="343"/>
      <c r="G89" s="154">
        <f>+'[5]OKT WS C RB Tax'!D44</f>
        <v>-22967971.960000001</v>
      </c>
      <c r="H89" s="154"/>
      <c r="I89" s="175" t="s">
        <v>269</v>
      </c>
      <c r="J89" s="214"/>
      <c r="K89" s="131"/>
      <c r="L89" s="154">
        <f>+'[5]OKT WS C RB Tax'!J46</f>
        <v>-18466247.010000002</v>
      </c>
      <c r="M89" s="108"/>
      <c r="N89" s="209">
        <v>-18466247.010000002</v>
      </c>
      <c r="O89" s="269"/>
      <c r="P89" s="209">
        <f t="shared" si="5"/>
        <v>0</v>
      </c>
    </row>
    <row r="90" spans="2:16">
      <c r="B90" s="332">
        <f t="shared" si="6"/>
        <v>48</v>
      </c>
      <c r="C90" s="338"/>
      <c r="D90" s="155" t="s">
        <v>487</v>
      </c>
      <c r="E90" s="131" t="s">
        <v>486</v>
      </c>
      <c r="F90" s="343"/>
      <c r="G90" s="154">
        <f>+'[5]OKT WS C RB Tax'!D62</f>
        <v>20581176.27</v>
      </c>
      <c r="H90" s="154"/>
      <c r="I90" s="175" t="s">
        <v>269</v>
      </c>
      <c r="J90" s="214"/>
      <c r="K90" s="131"/>
      <c r="L90" s="154">
        <f>+'[5]OKT WS C RB Tax'!J64</f>
        <v>3788660.6247032923</v>
      </c>
      <c r="M90" s="108"/>
      <c r="N90" s="209">
        <v>3790575.08</v>
      </c>
      <c r="O90" s="269"/>
      <c r="P90" s="209">
        <f t="shared" si="5"/>
        <v>1914.4552967078052</v>
      </c>
    </row>
    <row r="91" spans="2:16" ht="15.75" thickBot="1">
      <c r="B91" s="332">
        <f t="shared" si="6"/>
        <v>49</v>
      </c>
      <c r="C91" s="338"/>
      <c r="D91" s="276" t="s">
        <v>485</v>
      </c>
      <c r="E91" s="131" t="s">
        <v>484</v>
      </c>
      <c r="F91" s="345"/>
      <c r="G91" s="163">
        <f>+'[5]OKT WS C RB Tax'!D79</f>
        <v>0</v>
      </c>
      <c r="H91" s="154"/>
      <c r="I91" s="175" t="s">
        <v>269</v>
      </c>
      <c r="J91" s="214"/>
      <c r="K91" s="131"/>
      <c r="L91" s="163">
        <f>+'[5]OKT WS C RB Tax'!J81</f>
        <v>0</v>
      </c>
      <c r="M91" s="108"/>
      <c r="N91" s="211">
        <v>0</v>
      </c>
      <c r="O91" s="269"/>
      <c r="P91" s="211">
        <f t="shared" si="5"/>
        <v>0</v>
      </c>
    </row>
    <row r="92" spans="2:16">
      <c r="B92" s="332">
        <f t="shared" si="6"/>
        <v>50</v>
      </c>
      <c r="C92" s="338"/>
      <c r="D92" s="205" t="s">
        <v>483</v>
      </c>
      <c r="E92" s="205" t="str">
        <f>"(sum lns "&amp;B87&amp;" to "&amp;B91&amp;")"</f>
        <v>(sum lns 45 to 49)</v>
      </c>
      <c r="F92" s="131"/>
      <c r="G92" s="154">
        <f>SUM(G87:G91)</f>
        <v>-104877175.175</v>
      </c>
      <c r="H92" s="143"/>
      <c r="I92" s="175"/>
      <c r="J92" s="166"/>
      <c r="K92" s="131"/>
      <c r="L92" s="154">
        <f>SUM(L87:L91)</f>
        <v>-111114891.59640878</v>
      </c>
      <c r="M92" s="108"/>
      <c r="N92" s="209">
        <v>-117163397.36499999</v>
      </c>
      <c r="O92" s="151"/>
      <c r="P92" s="209">
        <f t="shared" si="5"/>
        <v>-6048505.7685912102</v>
      </c>
    </row>
    <row r="93" spans="2:16">
      <c r="B93" s="134"/>
      <c r="C93" s="133"/>
      <c r="D93" s="205"/>
      <c r="E93" s="131"/>
      <c r="F93" s="131"/>
      <c r="G93" s="154"/>
      <c r="H93" s="143"/>
      <c r="I93" s="175"/>
      <c r="J93" s="344"/>
      <c r="K93" s="131"/>
      <c r="L93" s="154"/>
      <c r="M93" s="108"/>
      <c r="N93" s="209"/>
      <c r="O93" s="151"/>
      <c r="P93" s="209" t="str">
        <f t="shared" si="5"/>
        <v/>
      </c>
    </row>
    <row r="94" spans="2:16">
      <c r="B94" s="134">
        <f>+B92+1</f>
        <v>51</v>
      </c>
      <c r="C94" s="133"/>
      <c r="D94" s="205" t="s">
        <v>482</v>
      </c>
      <c r="E94" s="131" t="s">
        <v>481</v>
      </c>
      <c r="F94" s="131"/>
      <c r="G94" s="154">
        <f>+'[5]OKT WS A RB Support '!G78</f>
        <v>0</v>
      </c>
      <c r="H94" s="143"/>
      <c r="I94" s="175" t="s">
        <v>269</v>
      </c>
      <c r="J94" s="214"/>
      <c r="K94" s="131"/>
      <c r="L94" s="154">
        <f>+'[5]OKT WS A RB Support '!G80</f>
        <v>0</v>
      </c>
      <c r="M94" s="108"/>
      <c r="N94" s="209">
        <v>0</v>
      </c>
      <c r="O94" s="151"/>
      <c r="P94" s="209">
        <f t="shared" si="5"/>
        <v>0</v>
      </c>
    </row>
    <row r="95" spans="2:16">
      <c r="B95" s="134"/>
      <c r="C95" s="133"/>
      <c r="D95" s="205"/>
      <c r="E95" s="131"/>
      <c r="F95" s="131"/>
      <c r="G95" s="154"/>
      <c r="H95" s="143"/>
      <c r="I95" s="175"/>
      <c r="J95" s="214"/>
      <c r="K95" s="131"/>
      <c r="L95" s="154"/>
      <c r="M95" s="108"/>
      <c r="N95" s="209"/>
      <c r="O95" s="151"/>
      <c r="P95" s="209" t="str">
        <f t="shared" si="5"/>
        <v/>
      </c>
    </row>
    <row r="96" spans="2:16" s="105" customFormat="1">
      <c r="B96" s="115" t="s">
        <v>480</v>
      </c>
      <c r="C96" s="114"/>
      <c r="D96" s="155" t="s">
        <v>479</v>
      </c>
      <c r="E96" s="131" t="str">
        <f>"(Worksheet A ln "&amp;'[5]OKT WS A RB Support '!A96&amp;". "&amp;'[5]OKT WS A RB Support '!G6&amp;")"</f>
        <v>(Worksheet A ln NOTE 1 . (E))</v>
      </c>
      <c r="F96" s="131"/>
      <c r="G96" s="154">
        <f>'[5]OKT WS A RB Support '!G96</f>
        <v>0</v>
      </c>
      <c r="H96" s="304"/>
      <c r="I96" s="175" t="s">
        <v>269</v>
      </c>
      <c r="J96" s="214"/>
      <c r="K96" s="131"/>
      <c r="L96" s="154">
        <f>+G96</f>
        <v>0</v>
      </c>
      <c r="M96" s="304"/>
      <c r="N96" s="209">
        <v>0</v>
      </c>
      <c r="O96" s="151"/>
      <c r="P96" s="209">
        <f t="shared" si="5"/>
        <v>0</v>
      </c>
    </row>
    <row r="97" spans="1:16">
      <c r="B97" s="134"/>
      <c r="C97" s="133"/>
      <c r="D97" s="205"/>
      <c r="E97" s="131"/>
      <c r="F97" s="131"/>
      <c r="G97" s="154"/>
      <c r="H97" s="143"/>
      <c r="I97" s="175"/>
      <c r="J97" s="214"/>
      <c r="K97" s="131"/>
      <c r="L97" s="154"/>
      <c r="M97" s="108"/>
      <c r="N97" s="209"/>
      <c r="O97" s="151"/>
      <c r="P97" s="209" t="str">
        <f t="shared" si="5"/>
        <v/>
      </c>
    </row>
    <row r="98" spans="1:16">
      <c r="B98" s="134">
        <f>+B94+1</f>
        <v>52</v>
      </c>
      <c r="C98" s="133"/>
      <c r="D98" s="205" t="s">
        <v>478</v>
      </c>
      <c r="E98" s="131" t="s">
        <v>477</v>
      </c>
      <c r="F98" s="131"/>
      <c r="G98" s="154"/>
      <c r="H98" s="143"/>
      <c r="I98" s="175"/>
      <c r="J98" s="131"/>
      <c r="K98" s="131"/>
      <c r="L98" s="154"/>
      <c r="M98" s="108"/>
      <c r="N98" s="209"/>
      <c r="O98" s="151"/>
      <c r="P98" s="209" t="str">
        <f t="shared" si="5"/>
        <v/>
      </c>
    </row>
    <row r="99" spans="1:16">
      <c r="B99" s="332">
        <f t="shared" ref="B99:B107" si="7">+B98+1</f>
        <v>53</v>
      </c>
      <c r="C99" s="338"/>
      <c r="D99" s="205" t="s">
        <v>476</v>
      </c>
      <c r="E99" s="120" t="str">
        <f>"(1/8 * ln "&amp;B130&amp;") (Note G)"</f>
        <v>(1/8 * ln 68) (Note G)</v>
      </c>
      <c r="F99" s="120"/>
      <c r="G99" s="154">
        <f>+G130/8</f>
        <v>432296.375</v>
      </c>
      <c r="H99" s="131"/>
      <c r="I99" s="175"/>
      <c r="J99" s="344"/>
      <c r="K99" s="131"/>
      <c r="L99" s="154">
        <f>+L130/8</f>
        <v>407429.75889512448</v>
      </c>
      <c r="M99" s="108"/>
      <c r="N99" s="209">
        <v>432296.375</v>
      </c>
      <c r="O99" s="151"/>
      <c r="P99" s="209">
        <f t="shared" si="5"/>
        <v>24866.616104875517</v>
      </c>
    </row>
    <row r="100" spans="1:16">
      <c r="B100" s="342">
        <f t="shared" si="7"/>
        <v>54</v>
      </c>
      <c r="C100" s="341"/>
      <c r="D100" s="205" t="s">
        <v>475</v>
      </c>
      <c r="E100" s="131" t="str">
        <f>"(Worksheet D, ln "&amp;'[5]OKT WS D Working Capital'!A15&amp;"."&amp;'[5]OKT WS D Working Capital'!I$6&amp;")"</f>
        <v>(Worksheet D, ln 2.(F))</v>
      </c>
      <c r="F100" s="343"/>
      <c r="G100" s="154">
        <f>+'[5]OKT WS D Working Capital'!I15</f>
        <v>0</v>
      </c>
      <c r="H100" s="108"/>
      <c r="I100" s="204" t="s">
        <v>264</v>
      </c>
      <c r="J100" s="214">
        <f t="shared" ref="J100:J106" si="8">VLOOKUP(I100,PSO_TU_Allocators,2,FALSE)</f>
        <v>0.94247785190223832</v>
      </c>
      <c r="K100" s="139"/>
      <c r="L100" s="210">
        <f>+J100*G100</f>
        <v>0</v>
      </c>
      <c r="M100" s="108"/>
      <c r="N100" s="209">
        <v>0</v>
      </c>
      <c r="O100" s="151"/>
      <c r="P100" s="209">
        <f t="shared" si="5"/>
        <v>0</v>
      </c>
    </row>
    <row r="101" spans="1:16">
      <c r="B101" s="342">
        <f t="shared" si="7"/>
        <v>55</v>
      </c>
      <c r="C101" s="341"/>
      <c r="D101" s="205" t="s">
        <v>474</v>
      </c>
      <c r="E101" s="131" t="str">
        <f>"(Worksheet D, ln "&amp;'[5]OKT WS D Working Capital'!A17&amp;"."&amp;'[5]OKT WS D Working Capital'!I$6&amp;")"</f>
        <v>(Worksheet D, ln 3.(F))</v>
      </c>
      <c r="F101" s="343"/>
      <c r="G101" s="154">
        <f>+'[5]OKT WS D Working Capital'!I17</f>
        <v>0</v>
      </c>
      <c r="H101" s="108"/>
      <c r="I101" s="204" t="s">
        <v>262</v>
      </c>
      <c r="J101" s="214">
        <f t="shared" si="8"/>
        <v>0.94247785190223832</v>
      </c>
      <c r="K101" s="139"/>
      <c r="L101" s="210">
        <f>+J101*G101</f>
        <v>0</v>
      </c>
      <c r="M101" s="108"/>
      <c r="N101" s="209">
        <v>0</v>
      </c>
      <c r="O101" s="151"/>
      <c r="P101" s="209">
        <f t="shared" si="5"/>
        <v>0</v>
      </c>
    </row>
    <row r="102" spans="1:16">
      <c r="B102" s="342">
        <f t="shared" si="7"/>
        <v>56</v>
      </c>
      <c r="C102" s="341"/>
      <c r="D102" s="205" t="s">
        <v>473</v>
      </c>
      <c r="E102" s="131" t="str">
        <f>"(Worksheet D, ln "&amp;'[5]OKT WS D Working Capital'!A19&amp;"."&amp;'[5]OKT WS D Working Capital'!I$6&amp;")"</f>
        <v>(Worksheet D, ln 4.(F))</v>
      </c>
      <c r="F102" s="343"/>
      <c r="G102" s="154">
        <f>+'[5]OKT WS D Working Capital'!I19</f>
        <v>0</v>
      </c>
      <c r="H102" s="108"/>
      <c r="I102" s="204" t="s">
        <v>268</v>
      </c>
      <c r="J102" s="214">
        <f t="shared" si="8"/>
        <v>0.94247785190223821</v>
      </c>
      <c r="K102" s="139"/>
      <c r="L102" s="210">
        <f>+J102*G102</f>
        <v>0</v>
      </c>
      <c r="M102" s="108"/>
      <c r="N102" s="209">
        <v>0</v>
      </c>
      <c r="O102" s="151"/>
      <c r="P102" s="209">
        <f t="shared" si="5"/>
        <v>0</v>
      </c>
    </row>
    <row r="103" spans="1:16">
      <c r="A103" s="105"/>
      <c r="B103" s="342">
        <f t="shared" si="7"/>
        <v>57</v>
      </c>
      <c r="C103" s="341"/>
      <c r="D103" s="155" t="s">
        <v>472</v>
      </c>
      <c r="E103" s="131" t="s">
        <v>471</v>
      </c>
      <c r="F103" s="339"/>
      <c r="G103" s="154">
        <f>+'[5]OKT WS D Working Capital'!J29</f>
        <v>0</v>
      </c>
      <c r="H103" s="340"/>
      <c r="I103" s="175" t="s">
        <v>262</v>
      </c>
      <c r="J103" s="214">
        <f t="shared" si="8"/>
        <v>0.94247785190223832</v>
      </c>
      <c r="K103" s="131"/>
      <c r="L103" s="154">
        <f>+J103*G103</f>
        <v>0</v>
      </c>
      <c r="M103" s="108"/>
      <c r="N103" s="209">
        <v>0</v>
      </c>
      <c r="O103" s="151"/>
      <c r="P103" s="209">
        <f t="shared" si="5"/>
        <v>0</v>
      </c>
    </row>
    <row r="104" spans="1:16">
      <c r="B104" s="332">
        <f t="shared" si="7"/>
        <v>58</v>
      </c>
      <c r="C104" s="338"/>
      <c r="D104" s="205" t="s">
        <v>470</v>
      </c>
      <c r="E104" s="131" t="s">
        <v>469</v>
      </c>
      <c r="F104" s="339"/>
      <c r="G104" s="154">
        <f>+'[5]OKT WS D Working Capital'!I29</f>
        <v>63586.195</v>
      </c>
      <c r="H104" s="143"/>
      <c r="I104" s="175" t="s">
        <v>268</v>
      </c>
      <c r="J104" s="214">
        <f t="shared" si="8"/>
        <v>0.94247785190223821</v>
      </c>
      <c r="K104" s="131"/>
      <c r="L104" s="154">
        <f>+G104*J104</f>
        <v>59928.580474236842</v>
      </c>
      <c r="M104" s="108"/>
      <c r="N104" s="209">
        <v>63586.195</v>
      </c>
      <c r="O104" s="151"/>
      <c r="P104" s="209">
        <f t="shared" si="5"/>
        <v>3657.6145257631579</v>
      </c>
    </row>
    <row r="105" spans="1:16">
      <c r="B105" s="332">
        <f t="shared" si="7"/>
        <v>59</v>
      </c>
      <c r="C105" s="338"/>
      <c r="D105" s="205" t="s">
        <v>468</v>
      </c>
      <c r="E105" s="131" t="s">
        <v>467</v>
      </c>
      <c r="F105" s="339"/>
      <c r="G105" s="154">
        <f>+'[5]OKT WS D Working Capital'!G29</f>
        <v>14900</v>
      </c>
      <c r="H105" s="143"/>
      <c r="I105" s="175" t="s">
        <v>269</v>
      </c>
      <c r="J105" s="214">
        <f t="shared" si="8"/>
        <v>1</v>
      </c>
      <c r="K105" s="131"/>
      <c r="L105" s="154">
        <f>+G105</f>
        <v>14900</v>
      </c>
      <c r="M105" s="108"/>
      <c r="N105" s="209">
        <v>14900</v>
      </c>
      <c r="O105" s="151"/>
      <c r="P105" s="209">
        <f t="shared" si="5"/>
        <v>0</v>
      </c>
    </row>
    <row r="106" spans="1:16" ht="15.75" thickBot="1">
      <c r="B106" s="332">
        <f t="shared" si="7"/>
        <v>60</v>
      </c>
      <c r="C106" s="338"/>
      <c r="D106" s="205" t="s">
        <v>466</v>
      </c>
      <c r="E106" s="131" t="s">
        <v>465</v>
      </c>
      <c r="F106" s="339"/>
      <c r="G106" s="163">
        <f>+'[5]OKT WS D Working Capital'!E29</f>
        <v>0</v>
      </c>
      <c r="H106" s="154"/>
      <c r="I106" s="175" t="s">
        <v>266</v>
      </c>
      <c r="J106" s="214">
        <f t="shared" si="8"/>
        <v>0</v>
      </c>
      <c r="K106" s="131"/>
      <c r="L106" s="163">
        <f>+G106*J106</f>
        <v>0</v>
      </c>
      <c r="M106" s="108"/>
      <c r="N106" s="211">
        <v>0</v>
      </c>
      <c r="O106" s="151"/>
      <c r="P106" s="211">
        <f t="shared" si="5"/>
        <v>0</v>
      </c>
    </row>
    <row r="107" spans="1:16">
      <c r="B107" s="332">
        <f t="shared" si="7"/>
        <v>61</v>
      </c>
      <c r="C107" s="338"/>
      <c r="D107" s="205" t="s">
        <v>464</v>
      </c>
      <c r="E107" s="205" t="str">
        <f>"(sum lns "&amp;B99&amp;" to "&amp;B106&amp;")"</f>
        <v>(sum lns 53 to 60)</v>
      </c>
      <c r="F107" s="125"/>
      <c r="G107" s="154">
        <f>SUM(G99:G106)</f>
        <v>510782.57</v>
      </c>
      <c r="H107" s="125"/>
      <c r="I107" s="114"/>
      <c r="J107" s="125"/>
      <c r="K107" s="125"/>
      <c r="L107" s="154">
        <f>SUM(L99:L106)</f>
        <v>482258.33936936135</v>
      </c>
      <c r="M107" s="108"/>
      <c r="N107" s="209">
        <v>510782.57</v>
      </c>
      <c r="O107" s="151"/>
      <c r="P107" s="209">
        <f t="shared" si="5"/>
        <v>28524.23063063866</v>
      </c>
    </row>
    <row r="108" spans="1:16">
      <c r="B108" s="134"/>
      <c r="C108" s="133"/>
      <c r="D108" s="205"/>
      <c r="E108" s="138"/>
      <c r="F108" s="138"/>
      <c r="G108" s="210"/>
      <c r="H108" s="138"/>
      <c r="I108" s="133"/>
      <c r="J108" s="138"/>
      <c r="K108" s="138"/>
      <c r="L108" s="210"/>
      <c r="M108" s="108"/>
      <c r="N108" s="209"/>
      <c r="O108" s="151"/>
      <c r="P108" s="209" t="str">
        <f t="shared" si="5"/>
        <v/>
      </c>
    </row>
    <row r="109" spans="1:16">
      <c r="B109" s="134">
        <f>+B107+1</f>
        <v>62</v>
      </c>
      <c r="C109" s="133"/>
      <c r="D109" s="155" t="s">
        <v>463</v>
      </c>
      <c r="E109" s="135" t="str">
        <f>"(Note H) (Worksheet E, ln "&amp;'[5]OKT WS E IPP Credits'!A21&amp;".(B))"</f>
        <v>(Note H) (Worksheet E, ln 8.(B))</v>
      </c>
      <c r="F109" s="138"/>
      <c r="G109" s="154">
        <f>IF(G63=0,0,-'[5]OKT WS E IPP Credits'!C21)</f>
        <v>0</v>
      </c>
      <c r="H109" s="138"/>
      <c r="I109" s="258" t="s">
        <v>269</v>
      </c>
      <c r="J109" s="214">
        <f>VLOOKUP(I109,PSO_TU_Allocators,2,FALSE)</f>
        <v>1</v>
      </c>
      <c r="K109" s="139"/>
      <c r="L109" s="210">
        <f>+J109*G109</f>
        <v>0</v>
      </c>
      <c r="M109" s="108"/>
      <c r="N109" s="209">
        <v>0</v>
      </c>
      <c r="O109" s="151"/>
      <c r="P109" s="209">
        <f t="shared" si="5"/>
        <v>0</v>
      </c>
    </row>
    <row r="110" spans="1:16" ht="15.75" thickBot="1">
      <c r="B110" s="336"/>
      <c r="C110" s="192"/>
      <c r="D110" s="276"/>
      <c r="E110" s="139"/>
      <c r="F110" s="139"/>
      <c r="G110" s="212"/>
      <c r="H110" s="139"/>
      <c r="I110" s="204"/>
      <c r="J110" s="139"/>
      <c r="K110" s="139"/>
      <c r="L110" s="212"/>
      <c r="M110" s="108"/>
      <c r="N110" s="211"/>
      <c r="O110" s="151"/>
      <c r="P110" s="211" t="str">
        <f t="shared" si="5"/>
        <v/>
      </c>
    </row>
    <row r="111" spans="1:16" ht="15.75" thickBot="1">
      <c r="B111" s="134">
        <f>+B109+1</f>
        <v>63</v>
      </c>
      <c r="C111" s="133"/>
      <c r="D111" s="135" t="str">
        <f>"RATE BASE  (sum lns "&amp;B83&amp;", "&amp;B92&amp;", "&amp;B94&amp;", "&amp;B107&amp;", "&amp;B109&amp;")"</f>
        <v>RATE BASE  (sum lns 43, 50, 51, 61, 62)</v>
      </c>
      <c r="E111" s="139"/>
      <c r="F111" s="139"/>
      <c r="G111" s="254">
        <f>+G107+G94+G92+G83+G109</f>
        <v>421045806.815</v>
      </c>
      <c r="H111" s="139"/>
      <c r="I111" s="139"/>
      <c r="J111" s="267"/>
      <c r="K111" s="139"/>
      <c r="L111" s="254">
        <f>+L107+L94+L92+L83+L109</f>
        <v>383311769.77604008</v>
      </c>
      <c r="M111" s="108"/>
      <c r="N111" s="253">
        <v>407764635.70499998</v>
      </c>
      <c r="O111" s="151"/>
      <c r="P111" s="253">
        <f t="shared" si="5"/>
        <v>24452865.928959906</v>
      </c>
    </row>
    <row r="112" spans="1:16" ht="16.5" thickTop="1">
      <c r="B112" s="134"/>
      <c r="C112" s="108"/>
      <c r="D112" s="108"/>
      <c r="E112" s="337"/>
      <c r="F112" s="108"/>
      <c r="G112" s="108"/>
      <c r="H112" s="108"/>
      <c r="I112" s="249"/>
      <c r="J112" s="249"/>
      <c r="K112" s="249"/>
      <c r="L112" s="120"/>
      <c r="M112" s="108"/>
      <c r="N112" s="242"/>
      <c r="O112" s="151"/>
      <c r="P112" s="242" t="str">
        <f t="shared" si="5"/>
        <v/>
      </c>
    </row>
    <row r="113" spans="1:16">
      <c r="B113" s="134"/>
      <c r="C113" s="133"/>
      <c r="D113" s="135"/>
      <c r="E113" s="139"/>
      <c r="F113" s="139"/>
      <c r="G113" s="139"/>
      <c r="H113" s="139"/>
      <c r="I113" s="139"/>
      <c r="J113" s="139"/>
      <c r="K113" s="139"/>
      <c r="L113" s="139"/>
      <c r="M113" s="108"/>
      <c r="N113" s="174"/>
      <c r="O113" s="151"/>
      <c r="P113" s="174" t="str">
        <f t="shared" si="5"/>
        <v/>
      </c>
    </row>
    <row r="114" spans="1:16">
      <c r="B114" s="134"/>
      <c r="C114" s="133"/>
      <c r="D114" s="135"/>
      <c r="E114" s="139"/>
      <c r="F114" s="204" t="str">
        <f>F42</f>
        <v xml:space="preserve">AEP West SPP Member Companies </v>
      </c>
      <c r="G114" s="204"/>
      <c r="H114" s="139"/>
      <c r="I114" s="139"/>
      <c r="J114" s="139"/>
      <c r="K114" s="139"/>
      <c r="L114" s="139"/>
      <c r="M114" s="108"/>
      <c r="N114" s="174"/>
      <c r="O114" s="151"/>
      <c r="P114" s="174" t="str">
        <f t="shared" si="5"/>
        <v/>
      </c>
    </row>
    <row r="115" spans="1:16">
      <c r="B115" s="134"/>
      <c r="C115" s="133"/>
      <c r="D115" s="135"/>
      <c r="E115" s="139"/>
      <c r="F115" s="204" t="str">
        <f>F43</f>
        <v>Transmission Cost of Service Formula Rate</v>
      </c>
      <c r="G115" s="204"/>
      <c r="H115" s="139"/>
      <c r="I115" s="139"/>
      <c r="J115" s="139"/>
      <c r="K115" s="139"/>
      <c r="L115" s="139"/>
      <c r="M115" s="108"/>
      <c r="N115" s="174"/>
      <c r="O115" s="151"/>
      <c r="P115" s="174" t="str">
        <f t="shared" si="5"/>
        <v/>
      </c>
    </row>
    <row r="116" spans="1:16">
      <c r="B116" s="134"/>
      <c r="C116" s="133"/>
      <c r="D116" s="192"/>
      <c r="E116" s="139"/>
      <c r="F116" s="204" t="str">
        <f>F44</f>
        <v>Utilizing Actual Cost Data for 2016 with Average Ratebase Balances</v>
      </c>
      <c r="G116" s="139"/>
      <c r="H116" s="139"/>
      <c r="I116" s="139"/>
      <c r="J116" s="139"/>
      <c r="K116" s="139"/>
      <c r="L116" s="139"/>
      <c r="M116" s="108"/>
      <c r="N116" s="174"/>
      <c r="O116" s="151"/>
      <c r="P116" s="174" t="str">
        <f t="shared" ref="P116:P121" si="9">IF(N116="","",N116-L116)</f>
        <v/>
      </c>
    </row>
    <row r="117" spans="1:16">
      <c r="B117" s="134"/>
      <c r="C117" s="133"/>
      <c r="D117" s="192"/>
      <c r="E117" s="139"/>
      <c r="F117" s="204"/>
      <c r="G117" s="139"/>
      <c r="H117" s="139"/>
      <c r="I117" s="139"/>
      <c r="J117" s="139"/>
      <c r="K117" s="139"/>
      <c r="L117" s="139"/>
      <c r="M117" s="108"/>
      <c r="N117" s="174"/>
      <c r="O117" s="151"/>
      <c r="P117" s="174" t="str">
        <f t="shared" si="9"/>
        <v/>
      </c>
    </row>
    <row r="118" spans="1:16">
      <c r="B118" s="134"/>
      <c r="C118" s="133"/>
      <c r="D118" s="192"/>
      <c r="E118" s="140"/>
      <c r="F118" s="204" t="str">
        <f>F46</f>
        <v>AEP OKLAHOMA TRANSMISSION COMPANY, INC</v>
      </c>
      <c r="G118" s="140"/>
      <c r="H118" s="122"/>
      <c r="I118" s="140"/>
      <c r="J118" s="140"/>
      <c r="K118" s="140"/>
      <c r="L118" s="192"/>
      <c r="M118" s="108"/>
      <c r="N118" s="242"/>
      <c r="O118" s="151"/>
      <c r="P118" s="242" t="str">
        <f t="shared" si="9"/>
        <v/>
      </c>
    </row>
    <row r="119" spans="1:16">
      <c r="B119" s="134"/>
      <c r="C119" s="133"/>
      <c r="D119" s="192"/>
      <c r="E119" s="140"/>
      <c r="F119" s="204"/>
      <c r="G119" s="140"/>
      <c r="H119" s="122"/>
      <c r="I119" s="140"/>
      <c r="J119" s="140"/>
      <c r="K119" s="140"/>
      <c r="L119" s="192"/>
      <c r="M119" s="108"/>
      <c r="N119" s="242"/>
      <c r="O119" s="151"/>
      <c r="P119" s="242" t="str">
        <f t="shared" si="9"/>
        <v/>
      </c>
    </row>
    <row r="120" spans="1:16">
      <c r="B120" s="336"/>
      <c r="C120" s="192"/>
      <c r="D120" s="133" t="s">
        <v>462</v>
      </c>
      <c r="E120" s="133" t="s">
        <v>461</v>
      </c>
      <c r="F120" s="133"/>
      <c r="G120" s="133" t="s">
        <v>460</v>
      </c>
      <c r="H120" s="131"/>
      <c r="I120" s="481" t="s">
        <v>459</v>
      </c>
      <c r="J120" s="482"/>
      <c r="K120" s="139"/>
      <c r="L120" s="335" t="s">
        <v>458</v>
      </c>
      <c r="M120" s="108"/>
      <c r="N120" s="334" t="s">
        <v>458</v>
      </c>
      <c r="O120" s="151"/>
      <c r="P120" s="334">
        <f t="shared" si="9"/>
        <v>0</v>
      </c>
    </row>
    <row r="121" spans="1:16" ht="15.75">
      <c r="B121" s="104"/>
      <c r="C121" s="192"/>
      <c r="D121" s="133"/>
      <c r="E121" s="133"/>
      <c r="F121" s="133"/>
      <c r="G121" s="133"/>
      <c r="H121" s="131"/>
      <c r="I121" s="139"/>
      <c r="J121" s="333"/>
      <c r="K121" s="139"/>
      <c r="L121" s="192"/>
      <c r="M121" s="108"/>
      <c r="N121" s="242"/>
      <c r="O121" s="327"/>
      <c r="P121" s="242" t="str">
        <f t="shared" si="9"/>
        <v/>
      </c>
    </row>
    <row r="122" spans="1:16" ht="15.75">
      <c r="B122" s="332"/>
      <c r="C122" s="133"/>
      <c r="D122" s="141" t="s">
        <v>457</v>
      </c>
      <c r="E122" s="330" t="str">
        <f>E50</f>
        <v>Data Sources</v>
      </c>
      <c r="F122" s="331"/>
      <c r="G122" s="139"/>
      <c r="H122" s="131"/>
      <c r="I122" s="139"/>
      <c r="J122" s="133"/>
      <c r="K122" s="139"/>
      <c r="L122" s="330" t="str">
        <f>L50</f>
        <v>Total</v>
      </c>
      <c r="M122" s="108"/>
      <c r="N122" s="329" t="s">
        <v>372</v>
      </c>
      <c r="O122" s="327"/>
      <c r="P122" s="329" t="s">
        <v>372</v>
      </c>
    </row>
    <row r="123" spans="1:16" ht="15.75">
      <c r="B123" s="104"/>
      <c r="C123" s="132"/>
      <c r="D123" s="322" t="s">
        <v>456</v>
      </c>
      <c r="E123" s="328" t="str">
        <f>E51</f>
        <v>(See "General Notes")</v>
      </c>
      <c r="F123" s="139"/>
      <c r="G123" s="328" t="str">
        <f>G51</f>
        <v>TO Total</v>
      </c>
      <c r="H123" s="196"/>
      <c r="I123" s="471" t="str">
        <f>I51</f>
        <v>Allocator</v>
      </c>
      <c r="J123" s="472"/>
      <c r="K123" s="191"/>
      <c r="L123" s="328" t="str">
        <f>L51</f>
        <v>Transmission</v>
      </c>
      <c r="M123" s="108"/>
      <c r="N123" s="326" t="s">
        <v>455</v>
      </c>
      <c r="O123" s="327"/>
      <c r="P123" s="326" t="s">
        <v>455</v>
      </c>
    </row>
    <row r="124" spans="1:16" ht="15.75">
      <c r="B124" s="325" t="str">
        <f>B52</f>
        <v>Line</v>
      </c>
      <c r="C124" s="192"/>
      <c r="D124" s="135"/>
      <c r="E124" s="139"/>
      <c r="F124" s="139"/>
      <c r="G124" s="322"/>
      <c r="H124" s="324"/>
      <c r="I124" s="141"/>
      <c r="J124" s="192"/>
      <c r="K124" s="323"/>
      <c r="L124" s="322"/>
      <c r="M124" s="108"/>
      <c r="N124" s="321"/>
      <c r="O124" s="151"/>
      <c r="P124" s="321" t="str">
        <f t="shared" ref="P124:P155" si="10">IF(N124="","",N124-L124)</f>
        <v/>
      </c>
    </row>
    <row r="125" spans="1:16" ht="15.75" thickBot="1">
      <c r="B125" s="243" t="str">
        <f>B53</f>
        <v>No.</v>
      </c>
      <c r="C125" s="133"/>
      <c r="D125" s="135" t="s">
        <v>454</v>
      </c>
      <c r="E125" s="139"/>
      <c r="F125" s="139"/>
      <c r="G125" s="139"/>
      <c r="H125" s="131"/>
      <c r="I125" s="204"/>
      <c r="J125" s="139"/>
      <c r="K125" s="139"/>
      <c r="L125" s="139"/>
      <c r="M125" s="108"/>
      <c r="N125" s="174"/>
      <c r="O125" s="151"/>
      <c r="P125" s="174" t="str">
        <f t="shared" si="10"/>
        <v/>
      </c>
    </row>
    <row r="126" spans="1:16">
      <c r="B126" s="319">
        <f>+B111+1</f>
        <v>64</v>
      </c>
      <c r="C126" s="133"/>
      <c r="D126" s="119" t="s">
        <v>453</v>
      </c>
      <c r="E126" s="139" t="s">
        <v>452</v>
      </c>
      <c r="F126" s="131"/>
      <c r="G126" s="237">
        <f>+'[5]OKT Historic TCOS'!G136</f>
        <v>3526172</v>
      </c>
      <c r="H126" s="154"/>
      <c r="I126" s="108"/>
      <c r="J126" s="108"/>
      <c r="K126" s="108"/>
      <c r="L126" s="108"/>
      <c r="M126" s="108"/>
      <c r="N126" s="317"/>
      <c r="O126" s="269"/>
      <c r="P126" s="317" t="str">
        <f t="shared" si="10"/>
        <v/>
      </c>
    </row>
    <row r="127" spans="1:16">
      <c r="A127" s="108"/>
      <c r="B127" s="319">
        <f>+B126+1</f>
        <v>65</v>
      </c>
      <c r="C127" s="133"/>
      <c r="D127" s="119" t="s">
        <v>451</v>
      </c>
      <c r="E127" s="131" t="s">
        <v>435</v>
      </c>
      <c r="F127" s="131"/>
      <c r="G127" s="237">
        <f>+'[5]OKT Historic TCOS'!G137</f>
        <v>67801</v>
      </c>
      <c r="H127" s="154"/>
      <c r="I127" s="108"/>
      <c r="J127" s="108"/>
      <c r="K127" s="108"/>
      <c r="L127" s="108"/>
      <c r="M127" s="108"/>
      <c r="N127" s="317"/>
      <c r="O127" s="269"/>
      <c r="P127" s="317" t="str">
        <f t="shared" si="10"/>
        <v/>
      </c>
    </row>
    <row r="128" spans="1:16">
      <c r="A128" s="108"/>
      <c r="B128" s="319">
        <f>+B127+1</f>
        <v>66</v>
      </c>
      <c r="C128" s="133"/>
      <c r="D128" s="119" t="s">
        <v>450</v>
      </c>
      <c r="E128" s="131" t="s">
        <v>433</v>
      </c>
      <c r="F128" s="131"/>
      <c r="G128" s="237">
        <f>+'[5]OKT Historic TCOS'!G138</f>
        <v>0</v>
      </c>
      <c r="H128" s="154"/>
      <c r="I128" s="108"/>
      <c r="J128" s="108"/>
      <c r="K128" s="108"/>
      <c r="L128" s="108"/>
      <c r="M128" s="108"/>
      <c r="N128" s="317"/>
      <c r="O128" s="269"/>
      <c r="P128" s="317" t="str">
        <f t="shared" si="10"/>
        <v/>
      </c>
    </row>
    <row r="129" spans="1:16" ht="15.75" thickBot="1">
      <c r="A129" s="108"/>
      <c r="B129" s="319">
        <f>+B128+1</f>
        <v>67</v>
      </c>
      <c r="C129" s="133"/>
      <c r="D129" s="119" t="str">
        <f>"Less: expenses 100% assigned to TO billed customers (Worksheet I, ln "&amp;'[5]OKT WS I Exp Adj'!B21&amp;")"</f>
        <v>Less: expenses 100% assigned to TO billed customers (Worksheet I, ln 14)</v>
      </c>
      <c r="E129" s="131"/>
      <c r="F129" s="131"/>
      <c r="G129" s="320">
        <f>+'[5]OKT WS I Exp Adj'!G21</f>
        <v>0</v>
      </c>
      <c r="H129" s="154"/>
      <c r="I129" s="108"/>
      <c r="J129" s="108"/>
      <c r="K129" s="108"/>
      <c r="L129" s="108"/>
      <c r="M129" s="108"/>
      <c r="N129" s="317"/>
      <c r="O129" s="269"/>
      <c r="P129" s="317" t="str">
        <f t="shared" si="10"/>
        <v/>
      </c>
    </row>
    <row r="130" spans="1:16">
      <c r="A130" s="108"/>
      <c r="B130" s="319">
        <f>+B129+1</f>
        <v>68</v>
      </c>
      <c r="C130" s="133"/>
      <c r="D130" s="119" t="s">
        <v>449</v>
      </c>
      <c r="E130" s="139" t="str">
        <f>"(lns "&amp;B126&amp;" - "&amp;B127&amp;" - "&amp;B128&amp;" - "&amp;B129&amp;")"</f>
        <v>(lns 64 - 65 - 66 - 67)</v>
      </c>
      <c r="F130" s="119"/>
      <c r="G130" s="154">
        <f>+G126-G127-G128-G129</f>
        <v>3458371</v>
      </c>
      <c r="H130" s="131"/>
      <c r="I130" s="204" t="s">
        <v>264</v>
      </c>
      <c r="J130" s="214">
        <f>VLOOKUP(I130,PSO_TU_Allocators,2,FALSE)</f>
        <v>0.94247785190223832</v>
      </c>
      <c r="K130" s="131"/>
      <c r="L130" s="154">
        <f>+J130*G130</f>
        <v>3259438.0711609959</v>
      </c>
      <c r="M130" s="108"/>
      <c r="N130" s="209">
        <v>3458371</v>
      </c>
      <c r="O130" s="269"/>
      <c r="P130" s="209">
        <f t="shared" si="10"/>
        <v>198932.92883900413</v>
      </c>
    </row>
    <row r="131" spans="1:16">
      <c r="A131" s="108"/>
      <c r="B131" s="134"/>
      <c r="C131" s="133"/>
      <c r="D131" s="119"/>
      <c r="E131" s="131"/>
      <c r="F131" s="131"/>
      <c r="G131" s="318"/>
      <c r="H131" s="154"/>
      <c r="I131" s="108"/>
      <c r="J131" s="108"/>
      <c r="K131" s="108"/>
      <c r="L131" s="108"/>
      <c r="M131" s="108"/>
      <c r="N131" s="317"/>
      <c r="O131" s="269"/>
      <c r="P131" s="317" t="str">
        <f t="shared" si="10"/>
        <v/>
      </c>
    </row>
    <row r="132" spans="1:16">
      <c r="A132" s="108"/>
      <c r="B132" s="134">
        <f>+B130+1</f>
        <v>69</v>
      </c>
      <c r="C132" s="133"/>
      <c r="D132" s="135" t="s">
        <v>448</v>
      </c>
      <c r="E132" s="139" t="s">
        <v>447</v>
      </c>
      <c r="F132" s="139"/>
      <c r="G132" s="154">
        <f>+'[5]OKT Historic TCOS'!G142</f>
        <v>2261480</v>
      </c>
      <c r="H132" s="154"/>
      <c r="I132" s="287"/>
      <c r="J132" s="287"/>
      <c r="K132" s="139"/>
      <c r="L132" s="210"/>
      <c r="M132" s="108"/>
      <c r="N132" s="209"/>
      <c r="O132" s="269"/>
      <c r="P132" s="209" t="str">
        <f t="shared" si="10"/>
        <v/>
      </c>
    </row>
    <row r="133" spans="1:16">
      <c r="A133" s="108"/>
      <c r="B133" s="134">
        <f t="shared" ref="B133:B141" si="11">+B132+1</f>
        <v>70</v>
      </c>
      <c r="C133" s="133"/>
      <c r="D133" s="119" t="s">
        <v>446</v>
      </c>
      <c r="E133" s="139" t="s">
        <v>445</v>
      </c>
      <c r="F133" s="139"/>
      <c r="G133" s="154">
        <f>+'[5]OKT Historic TCOS'!G143</f>
        <v>105769</v>
      </c>
      <c r="H133" s="154"/>
      <c r="I133" s="287"/>
      <c r="J133" s="135"/>
      <c r="K133" s="139"/>
      <c r="L133" s="210"/>
      <c r="M133" s="108"/>
      <c r="N133" s="209"/>
      <c r="O133" s="269"/>
      <c r="P133" s="209" t="str">
        <f t="shared" si="10"/>
        <v/>
      </c>
    </row>
    <row r="134" spans="1:16">
      <c r="B134" s="134">
        <f t="shared" si="11"/>
        <v>71</v>
      </c>
      <c r="C134" s="133"/>
      <c r="D134" s="135" t="s">
        <v>444</v>
      </c>
      <c r="E134" s="139" t="s">
        <v>443</v>
      </c>
      <c r="F134" s="131"/>
      <c r="G134" s="154">
        <f>+'[5]OKT Historic TCOS'!G144</f>
        <v>0</v>
      </c>
      <c r="H134" s="154"/>
      <c r="I134" s="287"/>
      <c r="J134" s="316"/>
      <c r="K134" s="139"/>
      <c r="L134" s="210"/>
      <c r="M134" s="108"/>
      <c r="N134" s="209"/>
      <c r="O134" s="269"/>
      <c r="P134" s="209" t="str">
        <f t="shared" si="10"/>
        <v/>
      </c>
    </row>
    <row r="135" spans="1:16">
      <c r="B135" s="134">
        <f t="shared" si="11"/>
        <v>72</v>
      </c>
      <c r="C135" s="133"/>
      <c r="D135" s="119" t="s">
        <v>442</v>
      </c>
      <c r="E135" s="139" t="s">
        <v>441</v>
      </c>
      <c r="F135" s="131"/>
      <c r="G135" s="154">
        <f>+'[5]OKT Historic TCOS'!G145</f>
        <v>0</v>
      </c>
      <c r="H135" s="154"/>
      <c r="I135" s="287"/>
      <c r="J135" s="287"/>
      <c r="K135" s="139"/>
      <c r="L135" s="210"/>
      <c r="M135" s="108"/>
      <c r="N135" s="209"/>
      <c r="O135" s="269"/>
      <c r="P135" s="209" t="str">
        <f t="shared" si="10"/>
        <v/>
      </c>
    </row>
    <row r="136" spans="1:16" ht="15.75" thickBot="1">
      <c r="B136" s="134">
        <f t="shared" si="11"/>
        <v>73</v>
      </c>
      <c r="C136" s="133"/>
      <c r="D136" s="119" t="s">
        <v>440</v>
      </c>
      <c r="E136" s="139" t="s">
        <v>439</v>
      </c>
      <c r="F136" s="131"/>
      <c r="G136" s="163">
        <f>+'[5]OKT Historic TCOS'!G146</f>
        <v>51779</v>
      </c>
      <c r="H136" s="154"/>
      <c r="I136" s="287"/>
      <c r="J136" s="287"/>
      <c r="K136" s="139"/>
      <c r="L136" s="210"/>
      <c r="M136" s="108"/>
      <c r="N136" s="209"/>
      <c r="O136" s="269"/>
      <c r="P136" s="209" t="str">
        <f t="shared" si="10"/>
        <v/>
      </c>
    </row>
    <row r="137" spans="1:16">
      <c r="B137" s="134">
        <f t="shared" si="11"/>
        <v>74</v>
      </c>
      <c r="C137" s="133"/>
      <c r="D137" s="135" t="s">
        <v>438</v>
      </c>
      <c r="E137" s="131" t="str">
        <f>"(ln "&amp;B132&amp;" - sum ln "&amp;B133&amp;"  to ln "&amp;B136&amp;")"</f>
        <v>(ln 69 - sum ln 70  to ln 73)</v>
      </c>
      <c r="F137" s="131"/>
      <c r="G137" s="154">
        <f>G132-SUM(G133:G136)</f>
        <v>2103932</v>
      </c>
      <c r="H137" s="154"/>
      <c r="I137" s="204" t="s">
        <v>262</v>
      </c>
      <c r="J137" s="214">
        <f t="shared" ref="J137:J142" si="12">VLOOKUP(I137,PSO_TU_Allocators,2,FALSE)</f>
        <v>0.94247785190223832</v>
      </c>
      <c r="K137" s="139"/>
      <c r="L137" s="210">
        <f>+J137*G137</f>
        <v>1982909.3119083801</v>
      </c>
      <c r="M137" s="108"/>
      <c r="N137" s="209">
        <v>2103932</v>
      </c>
      <c r="O137" s="269"/>
      <c r="P137" s="209">
        <f t="shared" si="10"/>
        <v>121022.68809161987</v>
      </c>
    </row>
    <row r="138" spans="1:16">
      <c r="B138" s="115">
        <f t="shared" si="11"/>
        <v>75</v>
      </c>
      <c r="C138" s="114"/>
      <c r="D138" s="119" t="s">
        <v>437</v>
      </c>
      <c r="E138" s="131" t="str">
        <f>"(ln "&amp;B133&amp;")"</f>
        <v>(ln 70)</v>
      </c>
      <c r="F138" s="131"/>
      <c r="G138" s="154">
        <f>+G133</f>
        <v>105769</v>
      </c>
      <c r="H138" s="154"/>
      <c r="I138" s="315" t="s">
        <v>268</v>
      </c>
      <c r="J138" s="214">
        <f t="shared" si="12"/>
        <v>0.94247785190223821</v>
      </c>
      <c r="K138" s="131"/>
      <c r="L138" s="154">
        <f>+J138*G138</f>
        <v>99684.939917847834</v>
      </c>
      <c r="M138" s="108"/>
      <c r="N138" s="209">
        <v>105769</v>
      </c>
      <c r="O138" s="269"/>
      <c r="P138" s="209">
        <f t="shared" si="10"/>
        <v>6084.0600821521657</v>
      </c>
    </row>
    <row r="139" spans="1:16">
      <c r="B139" s="134">
        <f t="shared" si="11"/>
        <v>76</v>
      </c>
      <c r="C139" s="133"/>
      <c r="D139" s="119" t="s">
        <v>436</v>
      </c>
      <c r="E139" s="131" t="s">
        <v>435</v>
      </c>
      <c r="F139" s="131"/>
      <c r="G139" s="154">
        <f>+'[5]OKT WS J Misc Exp'!F23</f>
        <v>0</v>
      </c>
      <c r="H139" s="154"/>
      <c r="I139" s="204" t="s">
        <v>264</v>
      </c>
      <c r="J139" s="214">
        <f t="shared" si="12"/>
        <v>0.94247785190223832</v>
      </c>
      <c r="K139" s="139"/>
      <c r="L139" s="210">
        <f>J139*G139</f>
        <v>0</v>
      </c>
      <c r="M139" s="108"/>
      <c r="N139" s="209">
        <v>0</v>
      </c>
      <c r="O139" s="269"/>
      <c r="P139" s="209">
        <f t="shared" si="10"/>
        <v>0</v>
      </c>
    </row>
    <row r="140" spans="1:16">
      <c r="B140" s="134">
        <f t="shared" si="11"/>
        <v>77</v>
      </c>
      <c r="C140" s="133"/>
      <c r="D140" s="119" t="s">
        <v>434</v>
      </c>
      <c r="E140" s="131" t="s">
        <v>433</v>
      </c>
      <c r="F140" s="131"/>
      <c r="G140" s="237">
        <f>'[5]OKT WS J Misc Exp'!F43</f>
        <v>0</v>
      </c>
      <c r="H140" s="131"/>
      <c r="I140" s="175" t="s">
        <v>268</v>
      </c>
      <c r="J140" s="214">
        <f t="shared" si="12"/>
        <v>0.94247785190223821</v>
      </c>
      <c r="K140" s="139"/>
      <c r="L140" s="252">
        <f>+J140*G140</f>
        <v>0</v>
      </c>
      <c r="M140" s="108"/>
      <c r="N140" s="236">
        <v>0</v>
      </c>
      <c r="O140" s="269"/>
      <c r="P140" s="236">
        <f t="shared" si="10"/>
        <v>0</v>
      </c>
    </row>
    <row r="141" spans="1:16">
      <c r="B141" s="134">
        <f t="shared" si="11"/>
        <v>78</v>
      </c>
      <c r="C141" s="133"/>
      <c r="D141" s="119" t="s">
        <v>432</v>
      </c>
      <c r="E141" s="131" t="str">
        <f>"Worksheet J ln "&amp;'[5]OKT WS J Misc Exp'!A52&amp;".(E) (Note L)"</f>
        <v>Worksheet J ln 32.(E) (Note L)</v>
      </c>
      <c r="F141" s="131"/>
      <c r="G141" s="237">
        <f>'[5]OKT WS J Misc Exp'!F52</f>
        <v>0</v>
      </c>
      <c r="H141" s="131"/>
      <c r="I141" s="175" t="s">
        <v>269</v>
      </c>
      <c r="J141" s="214">
        <f t="shared" si="12"/>
        <v>1</v>
      </c>
      <c r="K141" s="139"/>
      <c r="L141" s="210">
        <f>J141*G141</f>
        <v>0</v>
      </c>
      <c r="M141" s="108"/>
      <c r="N141" s="209">
        <v>0</v>
      </c>
      <c r="O141" s="269"/>
      <c r="P141" s="209">
        <f t="shared" si="10"/>
        <v>0</v>
      </c>
    </row>
    <row r="142" spans="1:16" s="105" customFormat="1">
      <c r="B142" s="115" t="s">
        <v>431</v>
      </c>
      <c r="C142" s="114"/>
      <c r="D142" s="314" t="s">
        <v>430</v>
      </c>
      <c r="E142" s="131" t="str">
        <f>"Worksheet O ln "&amp;'[5]OKT WS O  PBOP'!A30&amp;".B"</f>
        <v>Worksheet O ln 16.B</v>
      </c>
      <c r="F142" s="131"/>
      <c r="G142" s="237">
        <f>'[5]OKT WS O  PBOP'!D30</f>
        <v>185377.80835279575</v>
      </c>
      <c r="H142" s="131"/>
      <c r="I142" s="175" t="s">
        <v>269</v>
      </c>
      <c r="J142" s="214">
        <f t="shared" si="12"/>
        <v>1</v>
      </c>
      <c r="K142" s="131"/>
      <c r="L142" s="154">
        <f>G142</f>
        <v>185377.80835279575</v>
      </c>
      <c r="M142" s="304"/>
      <c r="N142" s="209">
        <v>185377.80835279575</v>
      </c>
      <c r="O142" s="269"/>
      <c r="P142" s="209">
        <f t="shared" si="10"/>
        <v>0</v>
      </c>
    </row>
    <row r="143" spans="1:16" s="105" customFormat="1" ht="15.75" thickBot="1">
      <c r="B143" s="115">
        <f>+B141+1</f>
        <v>79</v>
      </c>
      <c r="C143" s="114"/>
      <c r="D143" s="119" t="s">
        <v>429</v>
      </c>
      <c r="E143" s="131" t="str">
        <f>"(sum lns "&amp;B137&amp;"  to "&amp;B141&amp;" less ln "&amp;B142&amp;")"</f>
        <v>(sum lns 74  to 78 less ln 78a)</v>
      </c>
      <c r="F143" s="131"/>
      <c r="G143" s="163">
        <f>SUM(G137:G142)</f>
        <v>2395078.8083527959</v>
      </c>
      <c r="H143" s="154"/>
      <c r="I143" s="175"/>
      <c r="J143" s="313"/>
      <c r="K143" s="131"/>
      <c r="L143" s="163">
        <f>SUM(L137:L142)</f>
        <v>2267972.0601790235</v>
      </c>
      <c r="M143" s="304"/>
      <c r="N143" s="211">
        <v>2395078.8083527959</v>
      </c>
      <c r="O143" s="269"/>
      <c r="P143" s="211">
        <f t="shared" si="10"/>
        <v>127106.74817377236</v>
      </c>
    </row>
    <row r="144" spans="1:16" s="105" customFormat="1">
      <c r="B144" s="115">
        <f>+B143+1</f>
        <v>80</v>
      </c>
      <c r="C144" s="114"/>
      <c r="D144" s="119" t="s">
        <v>428</v>
      </c>
      <c r="E144" s="131" t="str">
        <f>"(ln "&amp;B130&amp;" + ln "&amp;B143&amp;")"</f>
        <v>(ln 68 + ln 79)</v>
      </c>
      <c r="F144" s="131"/>
      <c r="G144" s="237">
        <f>G130+G143</f>
        <v>5853449.8083527964</v>
      </c>
      <c r="H144" s="154"/>
      <c r="I144" s="175"/>
      <c r="J144" s="126"/>
      <c r="K144" s="131"/>
      <c r="L144" s="154">
        <f>+L143+L130</f>
        <v>5527410.1313400194</v>
      </c>
      <c r="M144" s="304"/>
      <c r="N144" s="209">
        <v>5853449.8083527964</v>
      </c>
      <c r="O144" s="269"/>
      <c r="P144" s="209">
        <f t="shared" si="10"/>
        <v>326039.67701277696</v>
      </c>
    </row>
    <row r="145" spans="1:16" s="105" customFormat="1">
      <c r="B145" s="115"/>
      <c r="C145" s="114"/>
      <c r="D145" s="119"/>
      <c r="E145" s="131"/>
      <c r="F145" s="131"/>
      <c r="G145" s="237"/>
      <c r="H145" s="233"/>
      <c r="I145" s="234"/>
      <c r="J145" s="312"/>
      <c r="K145" s="233"/>
      <c r="L145" s="237"/>
      <c r="M145" s="304"/>
      <c r="N145" s="236"/>
      <c r="O145" s="269"/>
      <c r="P145" s="236" t="str">
        <f t="shared" si="10"/>
        <v/>
      </c>
    </row>
    <row r="146" spans="1:16" s="105" customFormat="1">
      <c r="B146" s="115">
        <f>+B144+1</f>
        <v>81</v>
      </c>
      <c r="C146" s="114"/>
      <c r="D146" s="155" t="s">
        <v>427</v>
      </c>
      <c r="E146" s="175"/>
      <c r="F146" s="175"/>
      <c r="G146" s="237"/>
      <c r="H146" s="233"/>
      <c r="I146" s="234"/>
      <c r="J146" s="233"/>
      <c r="K146" s="233"/>
      <c r="L146" s="237"/>
      <c r="M146" s="304"/>
      <c r="N146" s="236"/>
      <c r="O146" s="269"/>
      <c r="P146" s="236" t="str">
        <f t="shared" si="10"/>
        <v/>
      </c>
    </row>
    <row r="147" spans="1:16" s="105" customFormat="1">
      <c r="B147" s="115">
        <f>+B146+1</f>
        <v>82</v>
      </c>
      <c r="C147" s="114"/>
      <c r="D147" s="307" t="str">
        <f>+D126</f>
        <v xml:space="preserve">  Transmission </v>
      </c>
      <c r="E147" s="305" t="s">
        <v>426</v>
      </c>
      <c r="F147" s="306"/>
      <c r="G147" s="309">
        <f>+'[5]OKT Historic TCOS'!G158</f>
        <v>10548201</v>
      </c>
      <c r="H147" s="154"/>
      <c r="I147" s="311" t="s">
        <v>264</v>
      </c>
      <c r="J147" s="214">
        <f>VLOOKUP(I147,PSO_TU_Allocators,2,FALSE)</f>
        <v>0.94247785190223832</v>
      </c>
      <c r="K147" s="310"/>
      <c r="L147" s="309">
        <f>J147*G147</f>
        <v>9941445.8199130427</v>
      </c>
      <c r="M147" s="304"/>
      <c r="N147" s="308">
        <v>10548201</v>
      </c>
      <c r="O147" s="269"/>
      <c r="P147" s="308">
        <f t="shared" si="10"/>
        <v>606755.18008695729</v>
      </c>
    </row>
    <row r="148" spans="1:16" s="105" customFormat="1">
      <c r="B148" s="115">
        <f>+B147+1</f>
        <v>83</v>
      </c>
      <c r="C148" s="114"/>
      <c r="D148" s="155" t="s">
        <v>425</v>
      </c>
      <c r="E148" s="306" t="s">
        <v>424</v>
      </c>
      <c r="F148" s="131"/>
      <c r="G148" s="154">
        <f>+'[5]OKT Historic TCOS'!G161</f>
        <v>0</v>
      </c>
      <c r="H148" s="154"/>
      <c r="I148" s="175" t="s">
        <v>262</v>
      </c>
      <c r="J148" s="214">
        <f>VLOOKUP(I148,PSO_TU_Allocators,2,FALSE)</f>
        <v>0.94247785190223832</v>
      </c>
      <c r="K148" s="131"/>
      <c r="L148" s="154">
        <f>+J148*G148</f>
        <v>0</v>
      </c>
      <c r="M148" s="304"/>
      <c r="N148" s="209">
        <v>0</v>
      </c>
      <c r="O148" s="269"/>
      <c r="P148" s="209">
        <f t="shared" si="10"/>
        <v>0</v>
      </c>
    </row>
    <row r="149" spans="1:16" s="105" customFormat="1">
      <c r="B149" s="115" t="s">
        <v>423</v>
      </c>
      <c r="C149" s="114"/>
      <c r="D149" s="307" t="s">
        <v>422</v>
      </c>
      <c r="E149" s="131" t="str">
        <f>"(Worksheet A ln "&amp;'[5]OKT WS A RB Support '!A90&amp;".E)"</f>
        <v>(Worksheet A ln 37.E)</v>
      </c>
      <c r="F149" s="306"/>
      <c r="G149" s="154">
        <f>+'[5]OKT WS A RB Support '!G88</f>
        <v>0</v>
      </c>
      <c r="H149" s="154"/>
      <c r="I149" s="175" t="s">
        <v>269</v>
      </c>
      <c r="J149" s="214">
        <v>1</v>
      </c>
      <c r="K149" s="131"/>
      <c r="L149" s="154">
        <f>J149*G149</f>
        <v>0</v>
      </c>
      <c r="M149" s="304"/>
      <c r="N149" s="209">
        <v>0</v>
      </c>
      <c r="O149" s="269"/>
      <c r="P149" s="209">
        <f t="shared" si="10"/>
        <v>0</v>
      </c>
    </row>
    <row r="150" spans="1:16" s="105" customFormat="1" ht="15.75" thickBot="1">
      <c r="B150" s="115">
        <f>+B148+1</f>
        <v>84</v>
      </c>
      <c r="C150" s="114"/>
      <c r="D150" s="155" t="s">
        <v>421</v>
      </c>
      <c r="E150" s="306" t="s">
        <v>420</v>
      </c>
      <c r="F150" s="131"/>
      <c r="G150" s="163">
        <f>+'[5]OKT Historic TCOS'!G162</f>
        <v>574183</v>
      </c>
      <c r="H150" s="154"/>
      <c r="I150" s="175" t="s">
        <v>262</v>
      </c>
      <c r="J150" s="214">
        <f>VLOOKUP(I150,PSO_TU_Allocators,2,FALSE)</f>
        <v>0.94247785190223832</v>
      </c>
      <c r="K150" s="131"/>
      <c r="L150" s="163">
        <f>+J150*G150</f>
        <v>541154.76043878286</v>
      </c>
      <c r="M150" s="304"/>
      <c r="N150" s="211">
        <v>574183</v>
      </c>
      <c r="O150" s="269"/>
      <c r="P150" s="211">
        <f t="shared" si="10"/>
        <v>33028.239561217139</v>
      </c>
    </row>
    <row r="151" spans="1:16" s="105" customFormat="1">
      <c r="B151" s="115">
        <f>+B150+1</f>
        <v>85</v>
      </c>
      <c r="C151" s="114"/>
      <c r="D151" s="155" t="s">
        <v>419</v>
      </c>
      <c r="E151" s="305" t="str">
        <f>"(sum lns "&amp;B147&amp;" to "&amp;B150&amp;")"</f>
        <v>(sum lns 82 to 84)</v>
      </c>
      <c r="F151" s="131"/>
      <c r="G151" s="154">
        <f>SUM(G147:G150)</f>
        <v>11122384</v>
      </c>
      <c r="H151" s="131"/>
      <c r="I151" s="175"/>
      <c r="J151" s="131"/>
      <c r="K151" s="131"/>
      <c r="L151" s="154">
        <f>SUM(L147:L150)</f>
        <v>10482600.580351826</v>
      </c>
      <c r="M151" s="304"/>
      <c r="N151" s="209">
        <v>11122384</v>
      </c>
      <c r="O151" s="269"/>
      <c r="P151" s="209">
        <f t="shared" si="10"/>
        <v>639783.4196481742</v>
      </c>
    </row>
    <row r="152" spans="1:16">
      <c r="B152" s="134"/>
      <c r="C152" s="133"/>
      <c r="D152" s="205"/>
      <c r="E152" s="303"/>
      <c r="F152" s="139"/>
      <c r="G152" s="210"/>
      <c r="H152" s="131"/>
      <c r="I152" s="204"/>
      <c r="J152" s="139"/>
      <c r="K152" s="139"/>
      <c r="L152" s="210"/>
      <c r="M152" s="108"/>
      <c r="N152" s="209"/>
      <c r="O152" s="269"/>
      <c r="P152" s="209" t="str">
        <f t="shared" si="10"/>
        <v/>
      </c>
    </row>
    <row r="153" spans="1:16">
      <c r="B153" s="134">
        <f>+B151+1</f>
        <v>86</v>
      </c>
      <c r="C153" s="133"/>
      <c r="D153" s="205" t="s">
        <v>418</v>
      </c>
      <c r="E153" s="120" t="s">
        <v>417</v>
      </c>
      <c r="F153" s="192"/>
      <c r="G153" s="210"/>
      <c r="H153" s="131"/>
      <c r="I153" s="204"/>
      <c r="J153" s="139"/>
      <c r="K153" s="139"/>
      <c r="L153" s="210"/>
      <c r="M153" s="108"/>
      <c r="N153" s="209"/>
      <c r="O153" s="269"/>
      <c r="P153" s="209" t="str">
        <f t="shared" si="10"/>
        <v/>
      </c>
    </row>
    <row r="154" spans="1:16">
      <c r="B154" s="134">
        <f t="shared" ref="B154:B160" si="13">+B153+1</f>
        <v>87</v>
      </c>
      <c r="C154" s="133"/>
      <c r="D154" s="205" t="s">
        <v>416</v>
      </c>
      <c r="E154" s="192"/>
      <c r="F154" s="192"/>
      <c r="G154" s="210"/>
      <c r="H154" s="131"/>
      <c r="I154" s="204"/>
      <c r="J154" s="192"/>
      <c r="K154" s="139"/>
      <c r="L154" s="210"/>
      <c r="M154" s="108"/>
      <c r="N154" s="209"/>
      <c r="O154" s="269"/>
      <c r="P154" s="209" t="str">
        <f t="shared" si="10"/>
        <v/>
      </c>
    </row>
    <row r="155" spans="1:16">
      <c r="B155" s="134">
        <f t="shared" si="13"/>
        <v>88</v>
      </c>
      <c r="C155" s="133"/>
      <c r="D155" s="205" t="s">
        <v>415</v>
      </c>
      <c r="E155" s="131" t="s">
        <v>414</v>
      </c>
      <c r="F155" s="131"/>
      <c r="G155" s="154">
        <f>+'[5]OKT WS L Other Taxes'!I46</f>
        <v>0</v>
      </c>
      <c r="H155" s="154"/>
      <c r="I155" s="204" t="s">
        <v>262</v>
      </c>
      <c r="J155" s="214">
        <f>VLOOKUP(I155,PSO_TU_Allocators,2,FALSE)</f>
        <v>0.94247785190223832</v>
      </c>
      <c r="K155" s="139"/>
      <c r="L155" s="210">
        <f>+J155*G155</f>
        <v>0</v>
      </c>
      <c r="M155" s="108"/>
      <c r="N155" s="209">
        <v>0</v>
      </c>
      <c r="O155" s="269"/>
      <c r="P155" s="209">
        <f t="shared" si="10"/>
        <v>0</v>
      </c>
    </row>
    <row r="156" spans="1:16">
      <c r="B156" s="134">
        <f t="shared" si="13"/>
        <v>89</v>
      </c>
      <c r="C156" s="133"/>
      <c r="D156" s="205" t="s">
        <v>413</v>
      </c>
      <c r="E156" s="131" t="s">
        <v>288</v>
      </c>
      <c r="F156" s="131"/>
      <c r="G156" s="154"/>
      <c r="H156" s="154"/>
      <c r="I156" s="204"/>
      <c r="J156" s="192"/>
      <c r="K156" s="139"/>
      <c r="L156" s="210"/>
      <c r="M156" s="108"/>
      <c r="N156" s="209"/>
      <c r="O156" s="269"/>
      <c r="P156" s="209" t="str">
        <f t="shared" ref="P156:P187" si="14">IF(N156="","",N156-L156)</f>
        <v/>
      </c>
    </row>
    <row r="157" spans="1:16">
      <c r="A157" s="105"/>
      <c r="B157" s="115">
        <f t="shared" si="13"/>
        <v>90</v>
      </c>
      <c r="C157" s="114"/>
      <c r="D157" s="155" t="s">
        <v>412</v>
      </c>
      <c r="E157" s="131" t="s">
        <v>411</v>
      </c>
      <c r="F157" s="131"/>
      <c r="G157" s="154">
        <f>+'[5]OKT WS L Other Taxes'!G46</f>
        <v>4716407</v>
      </c>
      <c r="H157" s="154"/>
      <c r="I157" s="175" t="s">
        <v>268</v>
      </c>
      <c r="J157" s="214">
        <f>VLOOKUP(I157,PSO_TU_Allocators,2,FALSE)</f>
        <v>0.94247785190223821</v>
      </c>
      <c r="K157" s="131"/>
      <c r="L157" s="154">
        <f>+G157*J157</f>
        <v>4445109.1380566796</v>
      </c>
      <c r="M157" s="108"/>
      <c r="N157" s="209">
        <v>4716407</v>
      </c>
      <c r="O157" s="269"/>
      <c r="P157" s="209">
        <f t="shared" si="14"/>
        <v>271297.86194332037</v>
      </c>
    </row>
    <row r="158" spans="1:16">
      <c r="B158" s="134">
        <f t="shared" si="13"/>
        <v>91</v>
      </c>
      <c r="C158" s="133"/>
      <c r="D158" s="205" t="s">
        <v>410</v>
      </c>
      <c r="E158" s="131" t="s">
        <v>409</v>
      </c>
      <c r="F158" s="131"/>
      <c r="G158" s="154">
        <f>+'[5]OKT WS L Other Taxes'!M46</f>
        <v>0</v>
      </c>
      <c r="H158" s="143"/>
      <c r="I158" s="204" t="s">
        <v>266</v>
      </c>
      <c r="J158" s="214">
        <f>VLOOKUP(I158,PSO_TU_Allocators,2,FALSE)</f>
        <v>0</v>
      </c>
      <c r="K158" s="139"/>
      <c r="L158" s="210">
        <f>+J158*G158</f>
        <v>0</v>
      </c>
      <c r="M158" s="108"/>
      <c r="N158" s="209">
        <v>0</v>
      </c>
      <c r="O158" s="269"/>
      <c r="P158" s="209">
        <f t="shared" si="14"/>
        <v>0</v>
      </c>
    </row>
    <row r="159" spans="1:16" ht="15.75" thickBot="1">
      <c r="B159" s="134">
        <f t="shared" si="13"/>
        <v>92</v>
      </c>
      <c r="C159" s="133"/>
      <c r="D159" s="205" t="s">
        <v>408</v>
      </c>
      <c r="E159" s="131" t="s">
        <v>407</v>
      </c>
      <c r="F159" s="131"/>
      <c r="G159" s="163">
        <f>+'[5]OKT WS L Other Taxes'!K46</f>
        <v>20000</v>
      </c>
      <c r="H159" s="143"/>
      <c r="I159" s="204" t="s">
        <v>268</v>
      </c>
      <c r="J159" s="214">
        <f>VLOOKUP(I159,PSO_TU_Allocators,2,FALSE)</f>
        <v>0.94247785190223821</v>
      </c>
      <c r="K159" s="139"/>
      <c r="L159" s="212">
        <f>+J159*G159</f>
        <v>18849.557038044764</v>
      </c>
      <c r="M159" s="108"/>
      <c r="N159" s="211">
        <v>20000</v>
      </c>
      <c r="O159" s="269"/>
      <c r="P159" s="211">
        <f t="shared" si="14"/>
        <v>1150.4429619552357</v>
      </c>
    </row>
    <row r="160" spans="1:16">
      <c r="B160" s="134">
        <f t="shared" si="13"/>
        <v>93</v>
      </c>
      <c r="C160" s="133"/>
      <c r="D160" s="205" t="s">
        <v>406</v>
      </c>
      <c r="E160" s="303" t="str">
        <f>"(sum lns "&amp;B155&amp;" to "&amp;B159&amp;")"</f>
        <v>(sum lns 88 to 92)</v>
      </c>
      <c r="F160" s="139"/>
      <c r="G160" s="154">
        <f>SUM(G155:G159)</f>
        <v>4736407</v>
      </c>
      <c r="H160" s="131"/>
      <c r="I160" s="204"/>
      <c r="J160" s="270"/>
      <c r="K160" s="139"/>
      <c r="L160" s="210">
        <f>SUM(L155:L159)</f>
        <v>4463958.6950947242</v>
      </c>
      <c r="M160" s="108"/>
      <c r="N160" s="209">
        <v>4736407</v>
      </c>
      <c r="O160" s="269"/>
      <c r="P160" s="209">
        <f t="shared" si="14"/>
        <v>272448.30490527581</v>
      </c>
    </row>
    <row r="161" spans="2:16">
      <c r="B161" s="134"/>
      <c r="C161" s="133"/>
      <c r="D161" s="205"/>
      <c r="E161" s="139"/>
      <c r="F161" s="139"/>
      <c r="G161" s="139"/>
      <c r="H161" s="131"/>
      <c r="I161" s="204"/>
      <c r="J161" s="270"/>
      <c r="K161" s="139"/>
      <c r="L161" s="139"/>
      <c r="M161" s="108"/>
      <c r="N161" s="174"/>
      <c r="O161" s="269"/>
      <c r="P161" s="174" t="str">
        <f t="shared" si="14"/>
        <v/>
      </c>
    </row>
    <row r="162" spans="2:16">
      <c r="B162" s="134">
        <f>+B160+1</f>
        <v>94</v>
      </c>
      <c r="C162" s="133"/>
      <c r="D162" s="205" t="s">
        <v>405</v>
      </c>
      <c r="E162" s="131" t="s">
        <v>404</v>
      </c>
      <c r="F162" s="286"/>
      <c r="G162" s="139"/>
      <c r="H162" s="108"/>
      <c r="I162" s="140"/>
      <c r="J162" s="192"/>
      <c r="K162" s="139"/>
      <c r="L162" s="281"/>
      <c r="M162" s="108"/>
      <c r="N162" s="280"/>
      <c r="O162" s="269"/>
      <c r="P162" s="280" t="str">
        <f t="shared" si="14"/>
        <v/>
      </c>
    </row>
    <row r="163" spans="2:16">
      <c r="B163" s="134">
        <f t="shared" ref="B163:B168" si="15">+B162+1</f>
        <v>95</v>
      </c>
      <c r="C163" s="133"/>
      <c r="D163" s="261" t="s">
        <v>403</v>
      </c>
      <c r="E163" s="293"/>
      <c r="F163" s="296"/>
      <c r="G163" s="302">
        <f>IF(F313&gt;0,1-(((1-F314)*(1-F313))/(1-F314*F313*F315)),0)</f>
        <v>0.38678999999999997</v>
      </c>
      <c r="H163" s="301"/>
      <c r="I163" s="295"/>
      <c r="J163" s="301"/>
      <c r="K163" s="293"/>
      <c r="L163" s="281"/>
      <c r="M163" s="108"/>
      <c r="N163" s="280"/>
      <c r="O163" s="269"/>
      <c r="P163" s="280" t="str">
        <f t="shared" si="14"/>
        <v/>
      </c>
    </row>
    <row r="164" spans="2:16">
      <c r="B164" s="134">
        <f t="shared" si="15"/>
        <v>96</v>
      </c>
      <c r="C164" s="133"/>
      <c r="D164" s="276" t="s">
        <v>402</v>
      </c>
      <c r="E164" s="293"/>
      <c r="F164" s="296"/>
      <c r="G164" s="302">
        <f>IF(L244&gt;0,($G163/(1-$G163))*(1-$L225/$L228),0)</f>
        <v>0.47824560860047449</v>
      </c>
      <c r="H164" s="301"/>
      <c r="I164" s="295"/>
      <c r="J164" s="281"/>
      <c r="K164" s="293"/>
      <c r="L164" s="281"/>
      <c r="M164" s="108"/>
      <c r="N164" s="280"/>
      <c r="O164" s="269"/>
      <c r="P164" s="280" t="str">
        <f t="shared" si="14"/>
        <v/>
      </c>
    </row>
    <row r="165" spans="2:16">
      <c r="B165" s="134">
        <f t="shared" si="15"/>
        <v>97</v>
      </c>
      <c r="C165" s="133"/>
      <c r="D165" s="155" t="str">
        <f>"       where WCLTD=(ln "&amp;B225&amp;") and WACC = (ln "&amp;B228&amp;")"</f>
        <v xml:space="preserve">       where WCLTD=(ln 133) and WACC = (ln 136)</v>
      </c>
      <c r="E165" s="300"/>
      <c r="F165" s="299"/>
      <c r="G165" s="139"/>
      <c r="H165" s="108"/>
      <c r="I165" s="295"/>
      <c r="J165" s="294"/>
      <c r="K165" s="293"/>
      <c r="L165" s="277"/>
      <c r="M165" s="108"/>
      <c r="N165" s="298"/>
      <c r="O165" s="269"/>
      <c r="P165" s="298" t="str">
        <f t="shared" si="14"/>
        <v/>
      </c>
    </row>
    <row r="166" spans="2:16">
      <c r="B166" s="134">
        <f t="shared" si="15"/>
        <v>98</v>
      </c>
      <c r="C166" s="133"/>
      <c r="D166" s="205" t="s">
        <v>401</v>
      </c>
      <c r="E166" s="297"/>
      <c r="F166" s="296"/>
      <c r="G166" s="139"/>
      <c r="H166" s="108"/>
      <c r="I166" s="295"/>
      <c r="J166" s="294"/>
      <c r="K166" s="293"/>
      <c r="L166" s="281"/>
      <c r="M166" s="108"/>
      <c r="N166" s="280"/>
      <c r="O166" s="269"/>
      <c r="P166" s="280" t="str">
        <f t="shared" si="14"/>
        <v/>
      </c>
    </row>
    <row r="167" spans="2:16">
      <c r="B167" s="134">
        <f t="shared" si="15"/>
        <v>99</v>
      </c>
      <c r="C167" s="133"/>
      <c r="D167" s="268" t="str">
        <f>"      GRCF=1 / (1 - T)  = (from ln "&amp;B163&amp;")"</f>
        <v xml:space="preserve">      GRCF=1 / (1 - T)  = (from ln 95)</v>
      </c>
      <c r="E167" s="292"/>
      <c r="F167" s="286"/>
      <c r="G167" s="291">
        <f>IF(G163&gt;0,1/(1-G163),0)</f>
        <v>1.6307627077183997</v>
      </c>
      <c r="H167" s="108"/>
      <c r="I167" s="278"/>
      <c r="J167" s="290"/>
      <c r="K167" s="265"/>
      <c r="L167" s="289"/>
      <c r="M167" s="108"/>
      <c r="N167" s="416"/>
      <c r="O167" s="269"/>
      <c r="P167" s="416" t="str">
        <f t="shared" si="14"/>
        <v/>
      </c>
    </row>
    <row r="168" spans="2:16">
      <c r="B168" s="134">
        <f t="shared" si="15"/>
        <v>100</v>
      </c>
      <c r="C168" s="133"/>
      <c r="D168" s="205" t="s">
        <v>400</v>
      </c>
      <c r="E168" s="287" t="s">
        <v>399</v>
      </c>
      <c r="F168" s="286"/>
      <c r="G168" s="154">
        <f>+'[5]OKT Historic TCOS'!G180</f>
        <v>0</v>
      </c>
      <c r="H168" s="108"/>
      <c r="I168" s="278"/>
      <c r="J168" s="285"/>
      <c r="K168" s="265"/>
      <c r="L168" s="284"/>
      <c r="M168" s="108"/>
      <c r="N168" s="263"/>
      <c r="O168" s="269"/>
      <c r="P168" s="263" t="str">
        <f t="shared" si="14"/>
        <v/>
      </c>
    </row>
    <row r="169" spans="2:16">
      <c r="B169" s="134"/>
      <c r="C169" s="133"/>
      <c r="D169" s="205"/>
      <c r="E169" s="283"/>
      <c r="F169" s="282"/>
      <c r="G169" s="210"/>
      <c r="H169" s="108"/>
      <c r="I169" s="278"/>
      <c r="J169" s="277"/>
      <c r="K169" s="265"/>
      <c r="L169" s="281"/>
      <c r="M169" s="108"/>
      <c r="N169" s="280"/>
      <c r="O169" s="269"/>
      <c r="P169" s="280" t="str">
        <f t="shared" si="14"/>
        <v/>
      </c>
    </row>
    <row r="170" spans="2:16">
      <c r="B170" s="134">
        <f>+B168+1</f>
        <v>101</v>
      </c>
      <c r="C170" s="133"/>
      <c r="D170" s="261" t="s">
        <v>398</v>
      </c>
      <c r="E170" s="274" t="str">
        <f>"(ln "&amp;B164&amp;" * ln "&amp;B174&amp;")"</f>
        <v>(ln 96 * ln 104)</v>
      </c>
      <c r="F170" s="279"/>
      <c r="G170" s="210">
        <f>+G164*G174</f>
        <v>14872479.618086033</v>
      </c>
      <c r="H170" s="108"/>
      <c r="I170" s="278"/>
      <c r="J170" s="277"/>
      <c r="K170" s="210"/>
      <c r="L170" s="210">
        <f>+L174*G164</f>
        <v>13539611.109038949</v>
      </c>
      <c r="M170" s="108"/>
      <c r="N170" s="209">
        <v>14403352.640829191</v>
      </c>
      <c r="O170" s="269"/>
      <c r="P170" s="209">
        <f t="shared" si="14"/>
        <v>863741.5317902416</v>
      </c>
    </row>
    <row r="171" spans="2:16" ht="15.75" thickBot="1">
      <c r="B171" s="134">
        <f>+B170+1</f>
        <v>102</v>
      </c>
      <c r="C171" s="133"/>
      <c r="D171" s="276" t="s">
        <v>397</v>
      </c>
      <c r="E171" s="274" t="str">
        <f>"(ln "&amp;B167&amp;" * ln "&amp;B168&amp;")"</f>
        <v>(ln 99 * ln 100)</v>
      </c>
      <c r="F171" s="274"/>
      <c r="G171" s="212">
        <f>G167*G168</f>
        <v>0</v>
      </c>
      <c r="H171" s="108"/>
      <c r="I171" s="275" t="s">
        <v>265</v>
      </c>
      <c r="J171" s="214">
        <f>VLOOKUP(I171,PSO_TU_Allocators,2,FALSE)</f>
        <v>0.94010836363971439</v>
      </c>
      <c r="K171" s="210"/>
      <c r="L171" s="212">
        <f>+G171*J171</f>
        <v>0</v>
      </c>
      <c r="M171" s="108"/>
      <c r="N171" s="211">
        <v>0</v>
      </c>
      <c r="O171" s="269"/>
      <c r="P171" s="211">
        <f t="shared" si="14"/>
        <v>0</v>
      </c>
    </row>
    <row r="172" spans="2:16">
      <c r="B172" s="134">
        <f>+B171+1</f>
        <v>103</v>
      </c>
      <c r="C172" s="133"/>
      <c r="D172" s="261" t="s">
        <v>396</v>
      </c>
      <c r="E172" s="139" t="str">
        <f>"(sum lns "&amp;B170&amp;" to "&amp;B171&amp;")"</f>
        <v>(sum lns 101 to 102)</v>
      </c>
      <c r="F172" s="274"/>
      <c r="G172" s="272">
        <f>SUM(G170:G171)</f>
        <v>14872479.618086033</v>
      </c>
      <c r="H172" s="108"/>
      <c r="I172" s="255" t="s">
        <v>288</v>
      </c>
      <c r="J172" s="273"/>
      <c r="K172" s="210"/>
      <c r="L172" s="272">
        <f>SUM(L170:L171)</f>
        <v>13539611.109038949</v>
      </c>
      <c r="M172" s="108"/>
      <c r="N172" s="271">
        <v>14403352.640829191</v>
      </c>
      <c r="O172" s="269"/>
      <c r="P172" s="271">
        <f t="shared" si="14"/>
        <v>863741.5317902416</v>
      </c>
    </row>
    <row r="173" spans="2:16">
      <c r="B173" s="134"/>
      <c r="C173" s="133"/>
      <c r="D173" s="205"/>
      <c r="E173" s="139"/>
      <c r="F173" s="139"/>
      <c r="G173" s="139"/>
      <c r="H173" s="131"/>
      <c r="I173" s="204"/>
      <c r="J173" s="270"/>
      <c r="K173" s="139"/>
      <c r="L173" s="139"/>
      <c r="M173" s="108"/>
      <c r="N173" s="174"/>
      <c r="O173" s="269"/>
      <c r="P173" s="174" t="str">
        <f t="shared" si="14"/>
        <v/>
      </c>
    </row>
    <row r="174" spans="2:16">
      <c r="B174" s="134">
        <f>+B172+1</f>
        <v>104</v>
      </c>
      <c r="C174" s="133"/>
      <c r="D174" s="268" t="s">
        <v>395</v>
      </c>
      <c r="E174" s="268" t="str">
        <f>"(ln "&amp;B111&amp;" * ln "&amp;B228&amp;")"</f>
        <v>(ln 63 * ln 136)</v>
      </c>
      <c r="F174" s="267"/>
      <c r="G174" s="266">
        <f>+$L228*G111</f>
        <v>31097995.152759414</v>
      </c>
      <c r="H174" s="131"/>
      <c r="I174" s="255"/>
      <c r="J174" s="265"/>
      <c r="K174" s="210"/>
      <c r="L174" s="264">
        <f>+L228*L111</f>
        <v>28310999.339149009</v>
      </c>
      <c r="M174" s="108"/>
      <c r="N174" s="262">
        <v>30117061.990341716</v>
      </c>
      <c r="O174" s="263"/>
      <c r="P174" s="262">
        <f t="shared" si="14"/>
        <v>1806062.6511927061</v>
      </c>
    </row>
    <row r="175" spans="2:16">
      <c r="B175" s="134"/>
      <c r="C175" s="133"/>
      <c r="D175" s="261"/>
      <c r="E175" s="192"/>
      <c r="F175" s="192"/>
      <c r="G175" s="210"/>
      <c r="H175" s="210"/>
      <c r="I175" s="255"/>
      <c r="J175" s="255"/>
      <c r="K175" s="210"/>
      <c r="L175" s="210"/>
      <c r="M175" s="108"/>
      <c r="N175" s="209"/>
      <c r="O175" s="151"/>
      <c r="P175" s="209" t="str">
        <f t="shared" si="14"/>
        <v/>
      </c>
    </row>
    <row r="176" spans="2:16">
      <c r="B176" s="134">
        <f>+B174+1</f>
        <v>105</v>
      </c>
      <c r="C176" s="133"/>
      <c r="D176" s="260" t="s">
        <v>394</v>
      </c>
      <c r="E176" s="192"/>
      <c r="F176" s="259"/>
      <c r="G176" s="154">
        <f>'[5]OKT WS E IPP Credits'!C11</f>
        <v>0</v>
      </c>
      <c r="H176" s="154"/>
      <c r="I176" s="258" t="s">
        <v>269</v>
      </c>
      <c r="J176" s="214">
        <f>VLOOKUP(I176,PSO_TU_Allocators,2,FALSE)</f>
        <v>1</v>
      </c>
      <c r="K176" s="257"/>
      <c r="L176" s="210">
        <f>+J176*G176</f>
        <v>0</v>
      </c>
      <c r="M176" s="108"/>
      <c r="N176" s="209">
        <v>0</v>
      </c>
      <c r="O176" s="151"/>
      <c r="P176" s="209">
        <f t="shared" si="14"/>
        <v>0</v>
      </c>
    </row>
    <row r="177" spans="2:16" ht="15.75" thickBot="1">
      <c r="B177" s="134"/>
      <c r="C177" s="133"/>
      <c r="D177" s="205"/>
      <c r="E177" s="192"/>
      <c r="F177" s="192"/>
      <c r="G177" s="212"/>
      <c r="H177" s="256"/>
      <c r="I177" s="255"/>
      <c r="J177" s="255"/>
      <c r="K177" s="210"/>
      <c r="L177" s="212"/>
      <c r="M177" s="108"/>
      <c r="N177" s="211"/>
      <c r="O177" s="151"/>
      <c r="P177" s="211" t="str">
        <f t="shared" si="14"/>
        <v/>
      </c>
    </row>
    <row r="178" spans="2:16" ht="15.75" thickBot="1">
      <c r="B178" s="134">
        <f>+B176+1</f>
        <v>106</v>
      </c>
      <c r="C178" s="133"/>
      <c r="D178" s="135" t="s">
        <v>393</v>
      </c>
      <c r="E178" s="251"/>
      <c r="F178" s="251"/>
      <c r="G178" s="254">
        <f>G144+G151+G160+G172+G174+G176</f>
        <v>67682715.579198241</v>
      </c>
      <c r="H178" s="210"/>
      <c r="I178" s="255"/>
      <c r="J178" s="248"/>
      <c r="K178" s="210"/>
      <c r="L178" s="254">
        <f>L144+L151+L160+L172+L174+L176</f>
        <v>62324579.854974523</v>
      </c>
      <c r="M178" s="108"/>
      <c r="N178" s="253">
        <v>66232655.439523704</v>
      </c>
      <c r="O178" s="151"/>
      <c r="P178" s="253">
        <f t="shared" si="14"/>
        <v>3908075.5845491812</v>
      </c>
    </row>
    <row r="179" spans="2:16" ht="15.75" thickTop="1">
      <c r="B179" s="134">
        <f>+B178+1</f>
        <v>107</v>
      </c>
      <c r="C179" s="133"/>
      <c r="D179" s="119" t="str">
        <f>"    (sum lns "&amp;B144&amp;", "&amp;B151&amp;", "&amp;B160&amp;", "&amp;B172&amp;", "&amp;B174&amp;", "&amp;B176&amp;")"</f>
        <v xml:space="preserve">    (sum lns 80, 85, 93, 103, 104, 105)</v>
      </c>
      <c r="E179" s="251"/>
      <c r="F179" s="251"/>
      <c r="G179" s="252"/>
      <c r="H179" s="210"/>
      <c r="I179" s="210"/>
      <c r="J179" s="248"/>
      <c r="K179" s="210"/>
      <c r="L179" s="252"/>
      <c r="M179" s="108"/>
      <c r="N179" s="236"/>
      <c r="O179" s="151"/>
      <c r="P179" s="236" t="str">
        <f t="shared" si="14"/>
        <v/>
      </c>
    </row>
    <row r="180" spans="2:16">
      <c r="B180" s="134"/>
      <c r="C180" s="133"/>
      <c r="D180" s="135"/>
      <c r="E180" s="251"/>
      <c r="F180" s="251"/>
      <c r="G180" s="252"/>
      <c r="H180" s="210"/>
      <c r="I180" s="210"/>
      <c r="J180" s="248"/>
      <c r="K180" s="210"/>
      <c r="L180" s="252"/>
      <c r="M180" s="108"/>
      <c r="N180" s="236"/>
      <c r="O180" s="151"/>
      <c r="P180" s="236" t="str">
        <f t="shared" si="14"/>
        <v/>
      </c>
    </row>
    <row r="181" spans="2:16">
      <c r="B181" s="134">
        <f>+B179+1</f>
        <v>108</v>
      </c>
      <c r="C181" s="133"/>
      <c r="D181" s="135" t="s">
        <v>392</v>
      </c>
      <c r="F181" s="251"/>
      <c r="G181" s="201">
        <f>+'[5]OKT WS K State Taxes'!Q41</f>
        <v>0</v>
      </c>
      <c r="H181" s="210"/>
      <c r="I181" s="210" t="s">
        <v>269</v>
      </c>
      <c r="J181" s="248"/>
      <c r="K181" s="210"/>
      <c r="L181" s="201">
        <f>+'[5]OKT WS K State Taxes'!S41</f>
        <v>0</v>
      </c>
      <c r="M181" s="108"/>
      <c r="N181" s="414">
        <v>0</v>
      </c>
      <c r="O181" s="151"/>
      <c r="P181" s="414">
        <f t="shared" si="14"/>
        <v>0</v>
      </c>
    </row>
    <row r="182" spans="2:16" ht="15.75">
      <c r="B182" s="134"/>
      <c r="C182" s="108"/>
      <c r="D182" s="108"/>
      <c r="E182" s="108"/>
      <c r="F182" s="108"/>
      <c r="G182" s="108"/>
      <c r="H182" s="108"/>
      <c r="I182" s="249"/>
      <c r="J182" s="250"/>
      <c r="K182" s="249"/>
      <c r="L182" s="120"/>
      <c r="M182" s="108"/>
      <c r="N182" s="242"/>
      <c r="O182" s="151"/>
      <c r="P182" s="242" t="str">
        <f t="shared" si="14"/>
        <v/>
      </c>
    </row>
    <row r="183" spans="2:16" ht="15.75" thickBot="1">
      <c r="B183" s="134">
        <f>+B181+1</f>
        <v>109</v>
      </c>
      <c r="C183" s="133"/>
      <c r="D183" s="192" t="s">
        <v>391</v>
      </c>
      <c r="E183" s="192"/>
      <c r="F183" s="192"/>
      <c r="G183" s="247">
        <f>+G178+G181</f>
        <v>67682715.579198241</v>
      </c>
      <c r="H183" s="192"/>
      <c r="I183" s="192"/>
      <c r="J183" s="248"/>
      <c r="K183" s="192"/>
      <c r="L183" s="247">
        <f>+L178+L181</f>
        <v>62324579.854974523</v>
      </c>
      <c r="M183" s="108"/>
      <c r="N183" s="415">
        <v>66232655.439523704</v>
      </c>
      <c r="O183" s="151"/>
      <c r="P183" s="415">
        <f t="shared" si="14"/>
        <v>3908075.5845491812</v>
      </c>
    </row>
    <row r="184" spans="2:16" ht="15.75" thickTop="1">
      <c r="B184" s="134"/>
      <c r="C184" s="133"/>
      <c r="D184" s="135"/>
      <c r="E184" s="192"/>
      <c r="F184" s="194"/>
      <c r="G184" s="192"/>
      <c r="H184" s="192"/>
      <c r="I184" s="192"/>
      <c r="J184" s="192"/>
      <c r="K184" s="192"/>
      <c r="L184" s="192"/>
      <c r="M184" s="108"/>
      <c r="N184" s="242"/>
      <c r="O184" s="151"/>
      <c r="P184" s="242" t="str">
        <f t="shared" si="14"/>
        <v/>
      </c>
    </row>
    <row r="185" spans="2:16">
      <c r="B185" s="134"/>
      <c r="C185" s="133"/>
      <c r="D185" s="192"/>
      <c r="E185" s="192"/>
      <c r="F185" s="194"/>
      <c r="G185" s="192"/>
      <c r="H185" s="192"/>
      <c r="I185" s="192"/>
      <c r="J185" s="192"/>
      <c r="K185" s="192"/>
      <c r="L185" s="192"/>
      <c r="M185" s="108"/>
      <c r="N185" s="242"/>
      <c r="O185" s="151"/>
      <c r="P185" s="242" t="str">
        <f t="shared" si="14"/>
        <v/>
      </c>
    </row>
    <row r="186" spans="2:16">
      <c r="B186" s="134"/>
      <c r="C186" s="133"/>
      <c r="D186" s="135"/>
      <c r="E186" s="192"/>
      <c r="F186" s="140" t="str">
        <f>F114</f>
        <v xml:space="preserve">AEP West SPP Member Companies </v>
      </c>
      <c r="G186" s="192"/>
      <c r="H186" s="192"/>
      <c r="I186" s="192"/>
      <c r="J186" s="192"/>
      <c r="K186" s="192"/>
      <c r="L186" s="192"/>
      <c r="M186" s="108"/>
      <c r="N186" s="242"/>
      <c r="O186" s="151"/>
      <c r="P186" s="242" t="str">
        <f t="shared" si="14"/>
        <v/>
      </c>
    </row>
    <row r="187" spans="2:16">
      <c r="B187" s="134"/>
      <c r="C187" s="133"/>
      <c r="D187" s="135"/>
      <c r="E187" s="192"/>
      <c r="F187" s="140" t="str">
        <f>F115</f>
        <v>Transmission Cost of Service Formula Rate</v>
      </c>
      <c r="G187" s="192"/>
      <c r="H187" s="192"/>
      <c r="I187" s="192"/>
      <c r="J187" s="192"/>
      <c r="K187" s="192"/>
      <c r="L187" s="192"/>
      <c r="M187" s="108"/>
      <c r="N187" s="242"/>
      <c r="O187" s="151"/>
      <c r="P187" s="242" t="str">
        <f t="shared" si="14"/>
        <v/>
      </c>
    </row>
    <row r="188" spans="2:16">
      <c r="B188" s="192"/>
      <c r="C188" s="133"/>
      <c r="D188" s="192"/>
      <c r="E188" s="192"/>
      <c r="F188" s="140" t="str">
        <f>F116</f>
        <v>Utilizing Actual Cost Data for 2016 with Average Ratebase Balances</v>
      </c>
      <c r="G188" s="192"/>
      <c r="H188" s="192"/>
      <c r="I188" s="192"/>
      <c r="J188" s="192"/>
      <c r="K188" s="192"/>
      <c r="M188" s="108"/>
      <c r="N188" s="151"/>
      <c r="O188" s="151"/>
      <c r="P188" s="151" t="str">
        <f t="shared" ref="P188:P213" si="16">IF(N188="","",N188-L188)</f>
        <v/>
      </c>
    </row>
    <row r="189" spans="2:16">
      <c r="B189" s="134"/>
      <c r="C189" s="133"/>
      <c r="E189" s="140"/>
      <c r="F189" s="140"/>
      <c r="G189" s="140"/>
      <c r="H189" s="140"/>
      <c r="I189" s="140"/>
      <c r="J189" s="140"/>
      <c r="K189" s="140"/>
      <c r="M189" s="108"/>
      <c r="N189" s="151"/>
      <c r="O189" s="151"/>
      <c r="P189" s="151" t="str">
        <f t="shared" si="16"/>
        <v/>
      </c>
    </row>
    <row r="190" spans="2:16">
      <c r="B190" s="134"/>
      <c r="C190" s="133"/>
      <c r="D190" s="192"/>
      <c r="E190" s="135"/>
      <c r="F190" s="140" t="str">
        <f>F118</f>
        <v>AEP OKLAHOMA TRANSMISSION COMPANY, INC</v>
      </c>
      <c r="G190" s="135"/>
      <c r="H190" s="135"/>
      <c r="I190" s="135"/>
      <c r="J190" s="135"/>
      <c r="K190" s="135"/>
      <c r="L190" s="135"/>
      <c r="M190" s="108"/>
      <c r="N190" s="245"/>
      <c r="O190" s="151"/>
      <c r="P190" s="245" t="str">
        <f t="shared" si="16"/>
        <v/>
      </c>
    </row>
    <row r="191" spans="2:16">
      <c r="B191" s="134"/>
      <c r="C191" s="133"/>
      <c r="D191" s="192"/>
      <c r="E191" s="135"/>
      <c r="F191" s="140"/>
      <c r="G191" s="210"/>
      <c r="H191" s="135"/>
      <c r="I191" s="135"/>
      <c r="J191" s="135"/>
      <c r="K191" s="135"/>
      <c r="L191" s="210"/>
      <c r="M191" s="108"/>
      <c r="N191" s="209"/>
      <c r="O191" s="151"/>
      <c r="P191" s="209" t="str">
        <f t="shared" si="16"/>
        <v/>
      </c>
    </row>
    <row r="192" spans="2:16" ht="15.75">
      <c r="B192" s="134"/>
      <c r="C192" s="133"/>
      <c r="D192" s="192"/>
      <c r="F192" s="141" t="s">
        <v>390</v>
      </c>
      <c r="G192" s="192"/>
      <c r="H192" s="138"/>
      <c r="I192" s="138"/>
      <c r="J192" s="138"/>
      <c r="K192" s="138"/>
      <c r="L192" s="138"/>
      <c r="M192" s="108"/>
      <c r="N192" s="221"/>
      <c r="O192" s="151"/>
      <c r="P192" s="221" t="str">
        <f t="shared" si="16"/>
        <v/>
      </c>
    </row>
    <row r="193" spans="2:16" ht="15.75">
      <c r="B193" s="134"/>
      <c r="C193" s="133"/>
      <c r="D193" s="244"/>
      <c r="E193" s="138"/>
      <c r="F193" s="138"/>
      <c r="G193" s="138"/>
      <c r="H193" s="138"/>
      <c r="I193" s="138"/>
      <c r="J193" s="138"/>
      <c r="K193" s="138"/>
      <c r="L193" s="138"/>
      <c r="M193" s="108"/>
      <c r="N193" s="221"/>
      <c r="O193" s="151"/>
      <c r="P193" s="221" t="str">
        <f t="shared" si="16"/>
        <v/>
      </c>
    </row>
    <row r="194" spans="2:16" ht="15.75">
      <c r="B194" s="134" t="s">
        <v>389</v>
      </c>
      <c r="C194" s="133"/>
      <c r="D194" s="244"/>
      <c r="E194" s="138"/>
      <c r="F194" s="138"/>
      <c r="G194" s="138"/>
      <c r="H194" s="138"/>
      <c r="I194" s="138"/>
      <c r="J194" s="138"/>
      <c r="K194" s="138"/>
      <c r="L194" s="138"/>
      <c r="M194" s="108"/>
      <c r="N194" s="221"/>
      <c r="O194" s="151"/>
      <c r="P194" s="221" t="str">
        <f t="shared" si="16"/>
        <v/>
      </c>
    </row>
    <row r="195" spans="2:16" ht="15.75" thickBot="1">
      <c r="B195" s="243" t="s">
        <v>388</v>
      </c>
      <c r="C195" s="132"/>
      <c r="D195" s="119" t="s">
        <v>387</v>
      </c>
      <c r="E195" s="125"/>
      <c r="F195" s="125"/>
      <c r="G195" s="125"/>
      <c r="H195" s="125"/>
      <c r="I195" s="125"/>
      <c r="J195" s="125"/>
      <c r="K195" s="120"/>
      <c r="L195" s="192"/>
      <c r="M195" s="108"/>
      <c r="N195" s="242"/>
      <c r="O195" s="151"/>
      <c r="P195" s="242" t="str">
        <f t="shared" si="16"/>
        <v/>
      </c>
    </row>
    <row r="196" spans="2:16">
      <c r="B196" s="134">
        <f>+B183+1</f>
        <v>110</v>
      </c>
      <c r="C196" s="133"/>
      <c r="D196" s="125" t="s">
        <v>386</v>
      </c>
      <c r="E196" s="241" t="str">
        <f>"(ln "&amp;B56&amp;")"</f>
        <v>(ln 18)</v>
      </c>
      <c r="F196" s="235"/>
      <c r="H196" s="233"/>
      <c r="I196" s="233"/>
      <c r="J196" s="233"/>
      <c r="K196" s="233"/>
      <c r="L196" s="237">
        <f>+G56</f>
        <v>536477054.5</v>
      </c>
      <c r="M196" s="108"/>
      <c r="N196" s="236">
        <v>536477054.5</v>
      </c>
      <c r="O196" s="151"/>
      <c r="P196" s="236">
        <f t="shared" si="16"/>
        <v>0</v>
      </c>
    </row>
    <row r="197" spans="2:16">
      <c r="B197" s="134">
        <f>+B196+1</f>
        <v>111</v>
      </c>
      <c r="C197" s="133"/>
      <c r="D197" s="125" t="s">
        <v>385</v>
      </c>
      <c r="E197" s="232"/>
      <c r="F197" s="232"/>
      <c r="G197" s="240"/>
      <c r="H197" s="232"/>
      <c r="I197" s="232"/>
      <c r="J197" s="232"/>
      <c r="K197" s="232"/>
      <c r="L197" s="239">
        <v>30859312.579999991</v>
      </c>
      <c r="M197" s="108"/>
      <c r="N197" s="412">
        <v>0</v>
      </c>
      <c r="O197" s="151"/>
      <c r="P197" s="412">
        <f t="shared" si="16"/>
        <v>-30859312.579999991</v>
      </c>
    </row>
    <row r="198" spans="2:16" ht="15.75" thickBot="1">
      <c r="B198" s="134">
        <f>+B197+1</f>
        <v>112</v>
      </c>
      <c r="C198" s="133"/>
      <c r="D198" s="235" t="str">
        <f>"  Less transmission plant included in OATT Ancillary Services (Worksheet A, ln "&amp;'[5]OKT WS A RB Support '!A62&amp;", Col. "&amp;'[5]OKT WS A RB Support '!E6&amp;")  (Note R)"</f>
        <v xml:space="preserve">  Less transmission plant included in OATT Ancillary Services (Worksheet A, ln 23, Col. (C))  (Note R)</v>
      </c>
      <c r="E198" s="235"/>
      <c r="F198" s="235"/>
      <c r="G198" s="234"/>
      <c r="H198" s="233"/>
      <c r="I198" s="233"/>
      <c r="J198" s="234"/>
      <c r="K198" s="233"/>
      <c r="L198" s="199">
        <f>+'[5]OKT WS A RB Support '!G62</f>
        <v>0</v>
      </c>
      <c r="M198" s="108"/>
      <c r="N198" s="413">
        <v>0</v>
      </c>
      <c r="O198" s="151"/>
      <c r="P198" s="413">
        <f t="shared" si="16"/>
        <v>0</v>
      </c>
    </row>
    <row r="199" spans="2:16">
      <c r="B199" s="134">
        <f>+B198+1</f>
        <v>113</v>
      </c>
      <c r="C199" s="133"/>
      <c r="D199" s="125" t="s">
        <v>384</v>
      </c>
      <c r="E199" s="238" t="str">
        <f>"(ln "&amp;B196&amp;" - ln "&amp;B197&amp;" - ln "&amp;B198&amp;")"</f>
        <v>(ln 110 - ln 111 - ln 112)</v>
      </c>
      <c r="F199" s="235"/>
      <c r="H199" s="233"/>
      <c r="I199" s="233"/>
      <c r="J199" s="234"/>
      <c r="K199" s="233"/>
      <c r="L199" s="237">
        <f>L196-L197-L198</f>
        <v>505617741.92000002</v>
      </c>
      <c r="M199" s="108"/>
      <c r="N199" s="236">
        <v>536477054.5</v>
      </c>
      <c r="O199" s="151"/>
      <c r="P199" s="236">
        <f t="shared" si="16"/>
        <v>30859312.579999983</v>
      </c>
    </row>
    <row r="200" spans="2:16">
      <c r="B200" s="134"/>
      <c r="C200" s="133"/>
      <c r="D200" s="120"/>
      <c r="E200" s="235"/>
      <c r="F200" s="235"/>
      <c r="G200" s="234"/>
      <c r="H200" s="233"/>
      <c r="I200" s="233"/>
      <c r="J200" s="234"/>
      <c r="K200" s="233"/>
      <c r="L200" s="232"/>
      <c r="M200" s="108"/>
      <c r="N200" s="231"/>
      <c r="O200" s="151"/>
      <c r="P200" s="231" t="str">
        <f t="shared" si="16"/>
        <v/>
      </c>
    </row>
    <row r="201" spans="2:16" ht="15.75">
      <c r="B201" s="134">
        <f>+B199+1</f>
        <v>114</v>
      </c>
      <c r="C201" s="133"/>
      <c r="D201" s="125" t="s">
        <v>383</v>
      </c>
      <c r="E201" s="230" t="str">
        <f>"(ln "&amp;B199&amp;" / ln "&amp;B196&amp;")"</f>
        <v>(ln 113 / ln 110)</v>
      </c>
      <c r="F201" s="229"/>
      <c r="H201" s="228"/>
      <c r="I201" s="227"/>
      <c r="J201" s="227"/>
      <c r="K201" s="226" t="s">
        <v>382</v>
      </c>
      <c r="L201" s="225">
        <f>IF(L196&gt;0,L199/L196,0)</f>
        <v>0.94247785190223832</v>
      </c>
      <c r="M201" s="108"/>
      <c r="N201" s="224">
        <v>1</v>
      </c>
      <c r="O201" s="151"/>
      <c r="P201" s="224">
        <f t="shared" si="16"/>
        <v>5.7522148097761683E-2</v>
      </c>
    </row>
    <row r="202" spans="2:16" ht="15.75">
      <c r="B202" s="134"/>
      <c r="C202" s="133"/>
      <c r="D202" s="223"/>
      <c r="E202" s="125"/>
      <c r="F202" s="125"/>
      <c r="G202" s="222"/>
      <c r="H202" s="125"/>
      <c r="I202" s="114"/>
      <c r="J202" s="125"/>
      <c r="K202" s="125"/>
      <c r="L202" s="138"/>
      <c r="M202" s="108"/>
      <c r="N202" s="221"/>
      <c r="O202" s="151"/>
      <c r="P202" s="221" t="str">
        <f t="shared" si="16"/>
        <v/>
      </c>
    </row>
    <row r="203" spans="2:16" ht="45">
      <c r="B203" s="115">
        <f>B201+1</f>
        <v>115</v>
      </c>
      <c r="C203" s="114"/>
      <c r="D203" s="119" t="s">
        <v>381</v>
      </c>
      <c r="E203" s="175" t="s">
        <v>343</v>
      </c>
      <c r="F203" s="175" t="s">
        <v>380</v>
      </c>
      <c r="G203" s="220" t="s">
        <v>379</v>
      </c>
      <c r="H203" s="219" t="s">
        <v>372</v>
      </c>
      <c r="I203" s="204"/>
      <c r="J203" s="139"/>
      <c r="K203" s="139"/>
      <c r="L203" s="139"/>
      <c r="M203" s="108"/>
      <c r="N203" s="174"/>
      <c r="O203" s="151"/>
      <c r="P203" s="174" t="str">
        <f t="shared" si="16"/>
        <v/>
      </c>
    </row>
    <row r="204" spans="2:16">
      <c r="B204" s="115">
        <f t="shared" ref="B204:B209" si="17">+B203+1</f>
        <v>116</v>
      </c>
      <c r="C204" s="114"/>
      <c r="D204" s="217" t="s">
        <v>374</v>
      </c>
      <c r="E204" s="131"/>
      <c r="F204" s="131"/>
      <c r="G204" s="154"/>
      <c r="H204" s="154"/>
      <c r="I204" s="175"/>
      <c r="J204" s="214"/>
      <c r="K204" s="131"/>
      <c r="L204" s="154"/>
      <c r="M204" s="108"/>
      <c r="N204" s="209"/>
      <c r="O204" s="151"/>
      <c r="P204" s="209" t="str">
        <f t="shared" si="16"/>
        <v/>
      </c>
    </row>
    <row r="205" spans="2:16">
      <c r="B205" s="115">
        <f t="shared" si="17"/>
        <v>117</v>
      </c>
      <c r="C205" s="114"/>
      <c r="D205" s="155" t="s">
        <v>378</v>
      </c>
      <c r="E205" s="131" t="s">
        <v>377</v>
      </c>
      <c r="F205" s="131">
        <f>+'[5]OKT Historic TCOS'!F217</f>
        <v>0</v>
      </c>
      <c r="G205" s="131">
        <f>+'[5]OKT Historic TCOS'!G217+48</f>
        <v>763161</v>
      </c>
      <c r="H205" s="218">
        <f>+F205+G205</f>
        <v>763161</v>
      </c>
      <c r="I205" s="114" t="s">
        <v>264</v>
      </c>
      <c r="J205" s="214">
        <f>VLOOKUP(I205,PSO_TU_Allocators,2,FALSE)</f>
        <v>0.94247785190223832</v>
      </c>
      <c r="K205" s="213"/>
      <c r="L205" s="210">
        <f>(F205+G205)*J205</f>
        <v>719262.33993556409</v>
      </c>
      <c r="M205" s="108"/>
      <c r="N205" s="209">
        <v>763161</v>
      </c>
      <c r="O205" s="151"/>
      <c r="P205" s="209">
        <f t="shared" si="16"/>
        <v>43898.660064435913</v>
      </c>
    </row>
    <row r="206" spans="2:16">
      <c r="B206" s="115">
        <f t="shared" si="17"/>
        <v>118</v>
      </c>
      <c r="C206" s="114"/>
      <c r="D206" s="155" t="s">
        <v>376</v>
      </c>
      <c r="E206" s="131" t="s">
        <v>375</v>
      </c>
      <c r="F206" s="131">
        <f>+'[5]OKT Historic TCOS'!F218</f>
        <v>0</v>
      </c>
      <c r="G206" s="131">
        <f>+'[5]OKT Historic TCOS'!G218</f>
        <v>0</v>
      </c>
      <c r="H206" s="218">
        <f>+F206+G206</f>
        <v>0</v>
      </c>
      <c r="I206" s="204" t="s">
        <v>266</v>
      </c>
      <c r="J206" s="214">
        <f>VLOOKUP(I206,PSO_TU_Allocators,2,FALSE)</f>
        <v>0</v>
      </c>
      <c r="K206" s="213"/>
      <c r="L206" s="210">
        <f>(F206+G206)*J206</f>
        <v>0</v>
      </c>
      <c r="M206" s="108"/>
      <c r="N206" s="209">
        <v>0</v>
      </c>
      <c r="O206" s="151"/>
      <c r="P206" s="209">
        <f t="shared" si="16"/>
        <v>0</v>
      </c>
    </row>
    <row r="207" spans="2:16">
      <c r="B207" s="115">
        <f t="shared" si="17"/>
        <v>119</v>
      </c>
      <c r="C207" s="114"/>
      <c r="D207" s="217" t="s">
        <v>374</v>
      </c>
      <c r="E207" s="131"/>
      <c r="F207" s="131"/>
      <c r="G207" s="154"/>
      <c r="H207" s="154"/>
      <c r="I207" s="175"/>
      <c r="J207" s="214"/>
      <c r="K207" s="131"/>
      <c r="L207" s="154"/>
      <c r="M207" s="108"/>
      <c r="N207" s="209"/>
      <c r="O207" s="151"/>
      <c r="P207" s="209" t="str">
        <f t="shared" si="16"/>
        <v/>
      </c>
    </row>
    <row r="208" spans="2:16" ht="15.75" thickBot="1">
      <c r="B208" s="115">
        <f t="shared" si="17"/>
        <v>120</v>
      </c>
      <c r="C208" s="114"/>
      <c r="D208" s="155" t="s">
        <v>373</v>
      </c>
      <c r="E208" s="139">
        <v>0</v>
      </c>
      <c r="F208" s="216">
        <f>+'[5]OKT Historic TCOS'!F220</f>
        <v>0</v>
      </c>
      <c r="G208" s="216">
        <v>0</v>
      </c>
      <c r="H208" s="215">
        <f>+F208+G208</f>
        <v>0</v>
      </c>
      <c r="I208" s="204" t="s">
        <v>266</v>
      </c>
      <c r="J208" s="214">
        <f>VLOOKUP(I208,PSO_TU_Allocators,2,FALSE)</f>
        <v>0</v>
      </c>
      <c r="K208" s="213"/>
      <c r="L208" s="212">
        <f>(F208+G208)*J208</f>
        <v>0</v>
      </c>
      <c r="M208" s="108"/>
      <c r="N208" s="211">
        <v>0</v>
      </c>
      <c r="O208" s="151"/>
      <c r="P208" s="211">
        <f t="shared" si="16"/>
        <v>0</v>
      </c>
    </row>
    <row r="209" spans="2:16">
      <c r="B209" s="115">
        <f t="shared" si="17"/>
        <v>121</v>
      </c>
      <c r="C209" s="114"/>
      <c r="D209" s="155" t="s">
        <v>372</v>
      </c>
      <c r="E209" s="155" t="str">
        <f>"(sum lns "&amp;B204&amp;" to "&amp;B208&amp;")"</f>
        <v>(sum lns 116 to 120)</v>
      </c>
      <c r="F209" s="131">
        <f>SUM(F204:F208)</f>
        <v>0</v>
      </c>
      <c r="G209" s="131">
        <f>SUM(G204:G208)</f>
        <v>763161</v>
      </c>
      <c r="H209" s="131">
        <f>SUM(H204:H208)</f>
        <v>763161</v>
      </c>
      <c r="I209" s="204"/>
      <c r="J209" s="139"/>
      <c r="K209" s="139"/>
      <c r="L209" s="210">
        <f>SUM(L204:L208)</f>
        <v>719262.33993556409</v>
      </c>
      <c r="M209" s="108"/>
      <c r="N209" s="209">
        <v>763161</v>
      </c>
      <c r="O209" s="151"/>
      <c r="P209" s="209">
        <f t="shared" si="16"/>
        <v>43898.660064435913</v>
      </c>
    </row>
    <row r="210" spans="2:16">
      <c r="B210" s="115"/>
      <c r="C210" s="114"/>
      <c r="D210" s="155" t="s">
        <v>288</v>
      </c>
      <c r="E210" s="131" t="s">
        <v>288</v>
      </c>
      <c r="F210" s="131"/>
      <c r="G210" s="120"/>
      <c r="H210" s="131"/>
      <c r="I210" s="128"/>
      <c r="M210" s="108"/>
      <c r="N210" s="151"/>
      <c r="O210" s="151"/>
      <c r="P210" s="151" t="str">
        <f t="shared" si="16"/>
        <v/>
      </c>
    </row>
    <row r="211" spans="2:16" ht="15.75">
      <c r="B211" s="134">
        <f>B209+1</f>
        <v>122</v>
      </c>
      <c r="C211" s="133"/>
      <c r="D211" s="205" t="s">
        <v>371</v>
      </c>
      <c r="E211" s="131"/>
      <c r="F211" s="131"/>
      <c r="G211" s="131"/>
      <c r="H211" s="131"/>
      <c r="I211" s="128"/>
      <c r="K211" s="208" t="s">
        <v>370</v>
      </c>
      <c r="L211" s="207">
        <f>IF(H209&lt;&gt;0,L209/(F209+G209),0)</f>
        <v>0.94247785190223832</v>
      </c>
      <c r="M211" s="108"/>
      <c r="N211" s="206">
        <v>1</v>
      </c>
      <c r="O211" s="151"/>
      <c r="P211" s="206">
        <f t="shared" si="16"/>
        <v>5.7522148097761683E-2</v>
      </c>
    </row>
    <row r="212" spans="2:16">
      <c r="B212" s="134"/>
      <c r="C212" s="133"/>
      <c r="D212" s="205"/>
      <c r="E212" s="131"/>
      <c r="F212" s="131"/>
      <c r="G212" s="131"/>
      <c r="H212" s="131"/>
      <c r="I212" s="204"/>
      <c r="J212" s="139"/>
      <c r="K212" s="139"/>
      <c r="L212" s="139"/>
      <c r="M212" s="108"/>
      <c r="N212" s="174"/>
      <c r="O212" s="151"/>
      <c r="P212" s="174" t="str">
        <f t="shared" si="16"/>
        <v/>
      </c>
    </row>
    <row r="213" spans="2:16" ht="15.75">
      <c r="B213" s="134"/>
      <c r="C213" s="133"/>
      <c r="D213" s="195" t="s">
        <v>369</v>
      </c>
      <c r="E213" s="131"/>
      <c r="F213" s="131"/>
      <c r="G213" s="131"/>
      <c r="H213" s="131"/>
      <c r="I213" s="204"/>
      <c r="J213" s="139"/>
      <c r="K213" s="139"/>
      <c r="L213" s="139"/>
      <c r="M213" s="108"/>
      <c r="N213" s="174"/>
      <c r="O213" s="151"/>
      <c r="P213" s="174" t="str">
        <f t="shared" si="16"/>
        <v/>
      </c>
    </row>
    <row r="214" spans="2:16" ht="15.75" thickBot="1">
      <c r="B214" s="115">
        <f>+B211+1</f>
        <v>123</v>
      </c>
      <c r="C214" s="114"/>
      <c r="D214" s="155" t="s">
        <v>363</v>
      </c>
      <c r="E214" s="131"/>
      <c r="F214" s="131"/>
      <c r="G214" s="131"/>
      <c r="H214" s="131"/>
      <c r="I214" s="131"/>
      <c r="J214" s="131"/>
      <c r="K214" s="131"/>
      <c r="L214" s="188" t="s">
        <v>362</v>
      </c>
      <c r="M214" s="108"/>
      <c r="N214" s="187" t="s">
        <v>362</v>
      </c>
      <c r="O214" s="151"/>
      <c r="P214" s="187" t="s">
        <v>362</v>
      </c>
    </row>
    <row r="215" spans="2:16">
      <c r="B215" s="115">
        <f t="shared" ref="B215:B222" si="18">+B214+1</f>
        <v>124</v>
      </c>
      <c r="C215" s="114"/>
      <c r="D215" s="131" t="s">
        <v>361</v>
      </c>
      <c r="E215" s="104" t="s">
        <v>368</v>
      </c>
      <c r="F215" s="131"/>
      <c r="G215" s="131"/>
      <c r="H215" s="131"/>
      <c r="I215" s="131"/>
      <c r="J215" s="131"/>
      <c r="K215" s="131"/>
      <c r="L215" s="203">
        <f>+'[5]OKT WS N Avg Cap Structure'!E32</f>
        <v>8825886</v>
      </c>
      <c r="M215" s="108"/>
      <c r="N215" s="202">
        <v>8825886</v>
      </c>
      <c r="O215" s="151"/>
      <c r="P215" s="202">
        <f>IF(N215="","",N215-L215)</f>
        <v>0</v>
      </c>
    </row>
    <row r="216" spans="2:16">
      <c r="B216" s="115">
        <f t="shared" si="18"/>
        <v>125</v>
      </c>
      <c r="C216" s="114"/>
      <c r="D216" s="131" t="s">
        <v>359</v>
      </c>
      <c r="E216" s="104" t="s">
        <v>367</v>
      </c>
      <c r="F216" s="131"/>
      <c r="G216" s="131"/>
      <c r="H216" s="131"/>
      <c r="I216" s="131"/>
      <c r="J216" s="131"/>
      <c r="K216" s="131"/>
      <c r="L216" s="203">
        <f>+'[5]OKT WS N Avg Cap Structure'!E74</f>
        <v>0</v>
      </c>
      <c r="M216" s="108"/>
      <c r="N216" s="202">
        <v>0</v>
      </c>
      <c r="O216" s="151"/>
      <c r="P216" s="202">
        <f>IF(N216="","",N216-L216)</f>
        <v>0</v>
      </c>
    </row>
    <row r="217" spans="2:16" ht="15.75" thickBot="1">
      <c r="B217" s="115">
        <f t="shared" si="18"/>
        <v>126</v>
      </c>
      <c r="C217" s="114"/>
      <c r="D217" s="185" t="s">
        <v>357</v>
      </c>
      <c r="E217" s="131"/>
      <c r="F217" s="131"/>
      <c r="G217" s="131"/>
      <c r="H217" s="108"/>
      <c r="I217" s="108"/>
      <c r="J217" s="108"/>
      <c r="K217" s="131"/>
      <c r="L217" s="184" t="s">
        <v>356</v>
      </c>
      <c r="M217" s="108"/>
      <c r="N217" s="183" t="s">
        <v>356</v>
      </c>
      <c r="O217" s="151"/>
      <c r="P217" s="183" t="s">
        <v>356</v>
      </c>
    </row>
    <row r="218" spans="2:16">
      <c r="B218" s="115">
        <f t="shared" si="18"/>
        <v>127</v>
      </c>
      <c r="C218" s="114"/>
      <c r="D218" s="131" t="s">
        <v>355</v>
      </c>
      <c r="E218" s="104" t="str">
        <f>"(Worksheet N, ln. "&amp;'[5]OKT WS N Avg Cap Structure'!A11&amp;", col. "&amp;'[5]OKT WS N Avg Cap Structure'!E6&amp;")"</f>
        <v>(Worksheet N, ln. 1, col. (E))</v>
      </c>
      <c r="F218" s="131"/>
      <c r="G218" s="125"/>
      <c r="H218" s="108"/>
      <c r="I218" s="108"/>
      <c r="J218" s="108"/>
      <c r="K218" s="131"/>
      <c r="L218" s="201">
        <f>+'[5]OKT WS N Avg Cap Structure'!E11</f>
        <v>251688904</v>
      </c>
      <c r="M218" s="108"/>
      <c r="N218" s="414">
        <v>251688904</v>
      </c>
      <c r="O218" s="151"/>
      <c r="P218" s="414">
        <f t="shared" ref="P218:P223" si="19">IF(N218="","",N218-L218)</f>
        <v>0</v>
      </c>
    </row>
    <row r="219" spans="2:16">
      <c r="B219" s="115">
        <f t="shared" si="18"/>
        <v>128</v>
      </c>
      <c r="C219" s="114"/>
      <c r="D219" s="131" t="str">
        <f>"Less Preferred Stock (ln "&amp;B226&amp;")"</f>
        <v>Less Preferred Stock (ln 134)</v>
      </c>
      <c r="E219" s="104" t="str">
        <f>"(Worksheet N, ln. "&amp;'[5]OKT WS N Avg Cap Structure'!A12&amp;", col. "&amp;'[5]OKT WS N Avg Cap Structure'!E6&amp;")"</f>
        <v>(Worksheet N, ln. 2, col. (E))</v>
      </c>
      <c r="F219" s="131"/>
      <c r="G219" s="131"/>
      <c r="H219" s="108"/>
      <c r="I219" s="108"/>
      <c r="J219" s="108"/>
      <c r="K219" s="131"/>
      <c r="L219" s="201">
        <f>+'[5]OKT WS N Avg Cap Structure'!E12</f>
        <v>0</v>
      </c>
      <c r="M219" s="108"/>
      <c r="N219" s="414">
        <v>0</v>
      </c>
      <c r="O219" s="151"/>
      <c r="P219" s="414">
        <f t="shared" si="19"/>
        <v>0</v>
      </c>
    </row>
    <row r="220" spans="2:16">
      <c r="B220" s="115">
        <f t="shared" si="18"/>
        <v>129</v>
      </c>
      <c r="C220" s="114"/>
      <c r="D220" s="131" t="s">
        <v>352</v>
      </c>
      <c r="E220" s="104" t="str">
        <f>"(Worksheet N, ln. "&amp;'[5]OKT WS N Avg Cap Structure'!A13&amp;", col. "&amp;'[5]OKT WS N Avg Cap Structure'!E6&amp;")"</f>
        <v>(Worksheet N, ln. 3, col. (E))</v>
      </c>
      <c r="F220" s="131"/>
      <c r="G220" s="131"/>
      <c r="H220" s="108"/>
      <c r="I220" s="108"/>
      <c r="J220" s="108"/>
      <c r="K220" s="131"/>
      <c r="L220" s="201">
        <f>+'[5]OKT WS N Avg Cap Structure'!E13</f>
        <v>0</v>
      </c>
      <c r="M220" s="108"/>
      <c r="N220" s="414">
        <v>0</v>
      </c>
      <c r="O220" s="151"/>
      <c r="P220" s="414">
        <f t="shared" si="19"/>
        <v>0</v>
      </c>
    </row>
    <row r="221" spans="2:16" ht="15.75" thickBot="1">
      <c r="B221" s="115">
        <f t="shared" si="18"/>
        <v>130</v>
      </c>
      <c r="C221" s="114"/>
      <c r="D221" s="131" t="s">
        <v>350</v>
      </c>
      <c r="E221" s="104" t="str">
        <f>"(Worksheet N, ln. "&amp;'[5]OKT WS N Avg Cap Structure'!A14&amp;", col. "&amp;'[5]OKT WS N Avg Cap Structure'!E6&amp;")"</f>
        <v>(Worksheet N, ln. 4, col. (E))</v>
      </c>
      <c r="F221" s="131"/>
      <c r="G221" s="131"/>
      <c r="H221" s="108"/>
      <c r="I221" s="108"/>
      <c r="J221" s="108"/>
      <c r="K221" s="131"/>
      <c r="L221" s="199">
        <f>+'[5]OKT WS N Avg Cap Structure'!E14</f>
        <v>0</v>
      </c>
      <c r="M221" s="108"/>
      <c r="N221" s="413">
        <v>0</v>
      </c>
      <c r="O221" s="151"/>
      <c r="P221" s="413">
        <f t="shared" si="19"/>
        <v>0</v>
      </c>
    </row>
    <row r="222" spans="2:16">
      <c r="B222" s="115">
        <f t="shared" si="18"/>
        <v>131</v>
      </c>
      <c r="C222" s="114"/>
      <c r="D222" s="104" t="s">
        <v>348</v>
      </c>
      <c r="E222" s="131" t="str">
        <f>"(ln "&amp;B218&amp;" - ln "&amp;B219&amp;" - ln "&amp;B220&amp;" - ln "&amp;B221&amp;")"</f>
        <v>(ln 127 - ln 128 - ln 129 - ln 130)</v>
      </c>
      <c r="F222" s="178"/>
      <c r="G222" s="105"/>
      <c r="H222" s="125"/>
      <c r="I222" s="125"/>
      <c r="J222" s="125"/>
      <c r="K222" s="125"/>
      <c r="L222" s="177">
        <f>+L218-L219-L220-L221</f>
        <v>251688904</v>
      </c>
      <c r="M222" s="108"/>
      <c r="N222" s="410">
        <v>251688904</v>
      </c>
      <c r="O222" s="151"/>
      <c r="P222" s="410">
        <f t="shared" si="19"/>
        <v>0</v>
      </c>
    </row>
    <row r="223" spans="2:16" ht="15.75">
      <c r="B223" s="115"/>
      <c r="C223" s="114"/>
      <c r="D223" s="155"/>
      <c r="E223" s="131"/>
      <c r="F223" s="131"/>
      <c r="G223" s="475" t="s">
        <v>347</v>
      </c>
      <c r="H223" s="475"/>
      <c r="I223" s="131"/>
      <c r="J223" s="175" t="s">
        <v>346</v>
      </c>
      <c r="K223" s="131"/>
      <c r="L223" s="131"/>
      <c r="M223" s="108"/>
      <c r="N223" s="174"/>
      <c r="O223" s="151"/>
      <c r="P223" s="174" t="str">
        <f t="shared" si="19"/>
        <v/>
      </c>
    </row>
    <row r="224" spans="2:16" ht="15.75" thickBot="1">
      <c r="B224" s="115">
        <f>+B222+1</f>
        <v>132</v>
      </c>
      <c r="C224" s="114"/>
      <c r="D224" s="155"/>
      <c r="E224" s="172" t="str">
        <f>""&amp;'[5]OKT Historic TCOS'!O1&amp;" Avg Balances"</f>
        <v>2016 Avg Balances</v>
      </c>
      <c r="G224" s="172" t="s">
        <v>345</v>
      </c>
      <c r="H224" s="173" t="s">
        <v>344</v>
      </c>
      <c r="I224" s="131"/>
      <c r="J224" s="172" t="s">
        <v>343</v>
      </c>
      <c r="K224" s="131"/>
      <c r="L224" s="172" t="s">
        <v>342</v>
      </c>
      <c r="M224" s="108"/>
      <c r="N224" s="171" t="s">
        <v>342</v>
      </c>
      <c r="O224" s="151"/>
      <c r="P224" s="171" t="s">
        <v>342</v>
      </c>
    </row>
    <row r="225" spans="1:16">
      <c r="B225" s="115">
        <f>+B224+1</f>
        <v>133</v>
      </c>
      <c r="C225" s="114"/>
      <c r="D225" s="131" t="str">
        <f>"Avg Long Term Debt (Worksheet N, ln. "&amp;'[5]OKT WS N Avg Cap Structure'!A23&amp;", col. "&amp;'[5]OKT WS N Avg Cap Structure'!E6&amp;")"</f>
        <v>Avg Long Term Debt (Worksheet N, ln. 10, col. (E))</v>
      </c>
      <c r="E225" s="154">
        <f>+'[5]OKT WS N Avg Cap Structure'!E23</f>
        <v>247100000</v>
      </c>
      <c r="G225" s="162">
        <f>IF($E$228&gt;0,E225/$E$228,0)</f>
        <v>0.49539995380490659</v>
      </c>
      <c r="H225" s="161">
        <f>IF(G227&gt;E230,1-H226-H227,0)</f>
        <v>0.5</v>
      </c>
      <c r="I225" s="160"/>
      <c r="J225" s="166">
        <f>IF(E225&gt;0,L215/E225,0)</f>
        <v>3.5717871307163092E-2</v>
      </c>
      <c r="K225" s="120"/>
      <c r="L225" s="170">
        <f>IF(G$227&gt;E$230,J225*H225,J225*G225)</f>
        <v>1.7858935653581546E-2</v>
      </c>
      <c r="M225" s="108"/>
      <c r="N225" s="169">
        <v>1.7858935653581546E-2</v>
      </c>
      <c r="O225" s="151"/>
      <c r="P225" s="169">
        <f t="shared" ref="P225:P232" si="20">IF(N225="","",N225-L225)</f>
        <v>0</v>
      </c>
    </row>
    <row r="226" spans="1:16">
      <c r="B226" s="115">
        <f>+B225+1</f>
        <v>134</v>
      </c>
      <c r="C226" s="114"/>
      <c r="D226" s="131" t="str">
        <f>"Avg Preferred Stock (Worksheet N, ln. "&amp;'[5]OKT WS N Avg Cap Structure'!A73&amp;", col. "&amp;'[5]OKT WS M Cost of Debt for Proj.'!F6&amp;")"</f>
        <v>Avg Preferred Stock (Worksheet N, ln. 46, col. (E))</v>
      </c>
      <c r="E226" s="154">
        <f>+'[5]OKT WS N Avg Cap Structure'!E70</f>
        <v>0</v>
      </c>
      <c r="G226" s="162">
        <f>IF($E$228&gt;0,E226/$E$228,0)</f>
        <v>0</v>
      </c>
      <c r="H226" s="161">
        <f>IF(G227&gt;E230,G226,0)</f>
        <v>0</v>
      </c>
      <c r="I226" s="160"/>
      <c r="J226" s="166">
        <f>IF(E226&gt;0,L216/E226,0)</f>
        <v>0</v>
      </c>
      <c r="K226" s="120"/>
      <c r="L226" s="165">
        <f>IF(G$227&gt;E$230,J226*H226,J226*G226)</f>
        <v>0</v>
      </c>
      <c r="M226" s="108"/>
      <c r="N226" s="164">
        <v>0</v>
      </c>
      <c r="O226" s="151"/>
      <c r="P226" s="164">
        <f t="shared" si="20"/>
        <v>0</v>
      </c>
    </row>
    <row r="227" spans="1:16" ht="15.75" thickBot="1">
      <c r="B227" s="115">
        <f>+B226+1</f>
        <v>135</v>
      </c>
      <c r="C227" s="114"/>
      <c r="D227" s="155" t="str">
        <f>"Avg Common Stock  (ln "&amp;B222&amp;") (Note U)"</f>
        <v>Avg Common Stock  (ln 131) (Note U)</v>
      </c>
      <c r="E227" s="163">
        <f>+L222</f>
        <v>251688904</v>
      </c>
      <c r="G227" s="162">
        <f>IF($E$228&gt;0,E227/$E$228,0)</f>
        <v>0.50460004619509335</v>
      </c>
      <c r="H227" s="161">
        <f>IF(G227&gt;E230,E230,0)</f>
        <v>0.5</v>
      </c>
      <c r="I227" s="160"/>
      <c r="J227" s="166">
        <f>'[5]OKT Historic TCOS'!J240</f>
        <v>0.112</v>
      </c>
      <c r="K227" s="120"/>
      <c r="L227" s="158">
        <f>IF(G$227&gt;E$230,J227*H227,J227*G227)</f>
        <v>5.6000000000000001E-2</v>
      </c>
      <c r="M227" s="108"/>
      <c r="N227" s="156">
        <v>5.6000000000000001E-2</v>
      </c>
      <c r="O227" s="151"/>
      <c r="P227" s="156">
        <f t="shared" si="20"/>
        <v>0</v>
      </c>
    </row>
    <row r="228" spans="1:16" ht="15.75">
      <c r="B228" s="115">
        <f>+B227+1</f>
        <v>136</v>
      </c>
      <c r="C228" s="114"/>
      <c r="D228" s="155" t="str">
        <f>"  Total  (sum lns "&amp;B225&amp;" to "&amp;B227&amp;")"</f>
        <v xml:space="preserve">  Total  (sum lns 133 to 135)</v>
      </c>
      <c r="E228" s="154">
        <f>E227+E226+E225</f>
        <v>498788904</v>
      </c>
      <c r="G228" s="131" t="s">
        <v>288</v>
      </c>
      <c r="I228" s="131"/>
      <c r="J228" s="143"/>
      <c r="K228" s="153" t="s">
        <v>339</v>
      </c>
      <c r="L228" s="152">
        <f>SUM(L225:L227)</f>
        <v>7.3858935653581551E-2</v>
      </c>
      <c r="M228" s="108"/>
      <c r="N228" s="150">
        <v>7.3858935653581551E-2</v>
      </c>
      <c r="O228" s="151"/>
      <c r="P228" s="150">
        <f t="shared" si="20"/>
        <v>0</v>
      </c>
    </row>
    <row r="229" spans="1:16">
      <c r="B229" s="149"/>
      <c r="C229" s="108"/>
      <c r="D229" s="108"/>
      <c r="E229" s="143"/>
      <c r="F229" s="143"/>
      <c r="G229" s="143"/>
      <c r="H229" s="143"/>
      <c r="I229" s="143"/>
      <c r="J229" s="129"/>
      <c r="K229" s="129"/>
      <c r="L229" s="129"/>
      <c r="M229" s="108"/>
      <c r="N229" s="197"/>
      <c r="O229" s="151"/>
      <c r="P229" s="197" t="str">
        <f t="shared" si="20"/>
        <v/>
      </c>
    </row>
    <row r="230" spans="1:16">
      <c r="B230" s="134">
        <f>+B228+1</f>
        <v>137</v>
      </c>
      <c r="C230" s="108"/>
      <c r="D230" s="130" t="s">
        <v>366</v>
      </c>
      <c r="E230" s="147">
        <f>+'[5]OKT Historic TCOS'!E243</f>
        <v>0.5</v>
      </c>
      <c r="F230" s="143"/>
      <c r="G230" s="146"/>
      <c r="H230" s="143"/>
      <c r="I230" s="143"/>
      <c r="J230" s="131"/>
      <c r="K230" s="125"/>
      <c r="L230" s="131"/>
      <c r="M230" s="108"/>
      <c r="N230" s="174"/>
      <c r="O230" s="151"/>
      <c r="P230" s="174" t="str">
        <f t="shared" si="20"/>
        <v/>
      </c>
    </row>
    <row r="231" spans="1:16" s="105" customFormat="1" ht="15.75">
      <c r="B231" s="115"/>
      <c r="C231" s="114"/>
      <c r="D231" s="155"/>
      <c r="E231" s="194"/>
      <c r="F231" s="131"/>
      <c r="G231" s="120"/>
      <c r="H231" s="131"/>
      <c r="I231" s="131"/>
      <c r="J231" s="131"/>
      <c r="K231" s="196"/>
      <c r="L231" s="190"/>
      <c r="M231" s="143"/>
      <c r="N231" s="189"/>
      <c r="O231" s="151"/>
      <c r="P231" s="189" t="str">
        <f t="shared" si="20"/>
        <v/>
      </c>
    </row>
    <row r="232" spans="1:16" ht="15.75">
      <c r="A232" s="105"/>
      <c r="B232" s="134"/>
      <c r="C232" s="133"/>
      <c r="D232" s="195" t="s">
        <v>365</v>
      </c>
      <c r="E232" s="194"/>
      <c r="F232" s="193" t="s">
        <v>364</v>
      </c>
      <c r="G232" s="192"/>
      <c r="H232" s="139"/>
      <c r="I232" s="139"/>
      <c r="J232" s="139"/>
      <c r="K232" s="191"/>
      <c r="L232" s="190"/>
      <c r="M232" s="143"/>
      <c r="N232" s="189"/>
      <c r="O232" s="151"/>
      <c r="P232" s="189" t="str">
        <f t="shared" si="20"/>
        <v/>
      </c>
    </row>
    <row r="233" spans="1:16" ht="15.75" thickBot="1">
      <c r="A233" s="105"/>
      <c r="B233" s="115">
        <f>+B230+1</f>
        <v>138</v>
      </c>
      <c r="C233" s="114"/>
      <c r="D233" s="155" t="s">
        <v>363</v>
      </c>
      <c r="E233" s="131"/>
      <c r="F233" s="131"/>
      <c r="G233" s="131"/>
      <c r="H233" s="131"/>
      <c r="I233" s="131"/>
      <c r="J233" s="131"/>
      <c r="K233" s="131"/>
      <c r="L233" s="188" t="s">
        <v>362</v>
      </c>
      <c r="M233" s="143"/>
      <c r="N233" s="187" t="s">
        <v>362</v>
      </c>
      <c r="O233" s="151"/>
      <c r="P233" s="187" t="s">
        <v>362</v>
      </c>
    </row>
    <row r="234" spans="1:16">
      <c r="A234" s="105"/>
      <c r="B234" s="115">
        <f t="shared" ref="B234:B241" si="21">+B233+1</f>
        <v>139</v>
      </c>
      <c r="C234" s="114"/>
      <c r="D234" s="131" t="s">
        <v>361</v>
      </c>
      <c r="E234" s="104" t="s">
        <v>360</v>
      </c>
      <c r="F234" s="131"/>
      <c r="G234" s="131"/>
      <c r="H234" s="131"/>
      <c r="I234" s="131"/>
      <c r="J234" s="131"/>
      <c r="K234" s="131"/>
      <c r="L234" s="167">
        <v>61279549.405999996</v>
      </c>
      <c r="M234" s="143"/>
      <c r="N234" s="186">
        <v>61279549.405999996</v>
      </c>
      <c r="O234" s="151"/>
      <c r="P234" s="186">
        <f>IF(N234="","",N234-L234)</f>
        <v>0</v>
      </c>
    </row>
    <row r="235" spans="1:16">
      <c r="A235" s="105"/>
      <c r="B235" s="115">
        <f t="shared" si="21"/>
        <v>140</v>
      </c>
      <c r="C235" s="114"/>
      <c r="D235" s="131" t="s">
        <v>359</v>
      </c>
      <c r="E235" s="104" t="s">
        <v>358</v>
      </c>
      <c r="F235" s="131"/>
      <c r="G235" s="131"/>
      <c r="H235" s="131"/>
      <c r="I235" s="131"/>
      <c r="J235" s="131"/>
      <c r="K235" s="131"/>
      <c r="L235" s="167">
        <v>0</v>
      </c>
      <c r="M235" s="143"/>
      <c r="N235" s="186">
        <v>0</v>
      </c>
      <c r="O235" s="151"/>
      <c r="P235" s="186">
        <f>IF(N235="","",N235-L235)</f>
        <v>0</v>
      </c>
    </row>
    <row r="236" spans="1:16" ht="15.75" thickBot="1">
      <c r="A236" s="105"/>
      <c r="B236" s="115">
        <f t="shared" si="21"/>
        <v>141</v>
      </c>
      <c r="C236" s="114"/>
      <c r="D236" s="185" t="s">
        <v>357</v>
      </c>
      <c r="E236" s="131"/>
      <c r="F236" s="131"/>
      <c r="G236" s="131"/>
      <c r="H236" s="108"/>
      <c r="I236" s="108"/>
      <c r="J236" s="108"/>
      <c r="K236" s="131"/>
      <c r="L236" s="184" t="s">
        <v>356</v>
      </c>
      <c r="M236" s="143"/>
      <c r="N236" s="183" t="s">
        <v>356</v>
      </c>
      <c r="O236" s="151"/>
      <c r="P236" s="183" t="s">
        <v>356</v>
      </c>
    </row>
    <row r="237" spans="1:16">
      <c r="A237" s="105"/>
      <c r="B237" s="115">
        <f t="shared" si="21"/>
        <v>142</v>
      </c>
      <c r="C237" s="114"/>
      <c r="D237" s="131" t="s">
        <v>355</v>
      </c>
      <c r="E237" s="104" t="s">
        <v>354</v>
      </c>
      <c r="F237" s="131"/>
      <c r="G237" s="125"/>
      <c r="H237" s="108"/>
      <c r="I237" s="108"/>
      <c r="J237" s="108"/>
      <c r="K237" s="131"/>
      <c r="L237" s="182">
        <v>1167100217.1025</v>
      </c>
      <c r="M237" s="143"/>
      <c r="N237" s="412">
        <v>1167100217.1025</v>
      </c>
      <c r="O237" s="151"/>
      <c r="P237" s="412">
        <f t="shared" ref="P237:P242" si="22">IF(N237="","",N237-L237)</f>
        <v>0</v>
      </c>
    </row>
    <row r="238" spans="1:16">
      <c r="A238" s="105"/>
      <c r="B238" s="115">
        <f t="shared" si="21"/>
        <v>143</v>
      </c>
      <c r="C238" s="114"/>
      <c r="D238" s="131" t="str">
        <f>"Less Preferred Stock (ln "&amp;B245&amp;")"</f>
        <v>Less Preferred Stock (ln 149)</v>
      </c>
      <c r="E238" s="104" t="s">
        <v>353</v>
      </c>
      <c r="F238" s="131"/>
      <c r="G238" s="131"/>
      <c r="H238" s="108"/>
      <c r="I238" s="108"/>
      <c r="J238" s="108"/>
      <c r="K238" s="131"/>
      <c r="L238" s="182">
        <v>0</v>
      </c>
      <c r="M238" s="143"/>
      <c r="N238" s="412">
        <v>0</v>
      </c>
      <c r="O238" s="151"/>
      <c r="P238" s="412">
        <f t="shared" si="22"/>
        <v>0</v>
      </c>
    </row>
    <row r="239" spans="1:16">
      <c r="A239" s="105"/>
      <c r="B239" s="115">
        <f t="shared" si="21"/>
        <v>144</v>
      </c>
      <c r="C239" s="114"/>
      <c r="D239" s="131" t="s">
        <v>352</v>
      </c>
      <c r="E239" s="104" t="s">
        <v>351</v>
      </c>
      <c r="F239" s="131"/>
      <c r="G239" s="131"/>
      <c r="H239" s="108"/>
      <c r="I239" s="108"/>
      <c r="J239" s="108"/>
      <c r="K239" s="131"/>
      <c r="L239" s="182">
        <v>0</v>
      </c>
      <c r="M239" s="143"/>
      <c r="N239" s="412">
        <v>0</v>
      </c>
      <c r="O239" s="151"/>
      <c r="P239" s="412">
        <f t="shared" si="22"/>
        <v>0</v>
      </c>
    </row>
    <row r="240" spans="1:16" ht="15.75" thickBot="1">
      <c r="A240" s="105"/>
      <c r="B240" s="115">
        <f t="shared" si="21"/>
        <v>145</v>
      </c>
      <c r="C240" s="114"/>
      <c r="D240" s="131" t="s">
        <v>350</v>
      </c>
      <c r="E240" s="104" t="s">
        <v>349</v>
      </c>
      <c r="F240" s="131"/>
      <c r="G240" s="131"/>
      <c r="H240" s="108"/>
      <c r="I240" s="108"/>
      <c r="J240" s="108"/>
      <c r="K240" s="131"/>
      <c r="L240" s="180">
        <v>3789536.1850000001</v>
      </c>
      <c r="M240" s="143"/>
      <c r="N240" s="411">
        <v>3789536.1850000001</v>
      </c>
      <c r="O240" s="151"/>
      <c r="P240" s="411">
        <f t="shared" si="22"/>
        <v>0</v>
      </c>
    </row>
    <row r="241" spans="1:21">
      <c r="A241" s="105"/>
      <c r="B241" s="115">
        <f t="shared" si="21"/>
        <v>146</v>
      </c>
      <c r="C241" s="114"/>
      <c r="D241" s="104" t="s">
        <v>348</v>
      </c>
      <c r="E241" s="131" t="str">
        <f>"(ln "&amp;B237&amp;" - ln "&amp;B238&amp;" - ln "&amp;B239&amp;" - ln "&amp;B240&amp;")"</f>
        <v>(ln 142 - ln 143 - ln 144 - ln 145)</v>
      </c>
      <c r="F241" s="178"/>
      <c r="G241" s="105"/>
      <c r="H241" s="125"/>
      <c r="I241" s="125"/>
      <c r="J241" s="125"/>
      <c r="K241" s="125"/>
      <c r="L241" s="177">
        <f>+L237-L238-L239-L240</f>
        <v>1163310680.9175</v>
      </c>
      <c r="M241" s="143"/>
      <c r="N241" s="410">
        <v>1163310680.9175</v>
      </c>
      <c r="O241" s="151"/>
      <c r="P241" s="410">
        <f t="shared" si="22"/>
        <v>0</v>
      </c>
    </row>
    <row r="242" spans="1:21" ht="15.75">
      <c r="A242" s="105"/>
      <c r="B242" s="115"/>
      <c r="C242" s="114"/>
      <c r="D242" s="155"/>
      <c r="E242" s="131"/>
      <c r="F242" s="131"/>
      <c r="G242" s="475" t="s">
        <v>347</v>
      </c>
      <c r="H242" s="475"/>
      <c r="I242" s="131"/>
      <c r="J242" s="175" t="s">
        <v>346</v>
      </c>
      <c r="K242" s="131"/>
      <c r="L242" s="131"/>
      <c r="M242" s="143"/>
      <c r="N242" s="174"/>
      <c r="O242" s="151"/>
      <c r="P242" s="174" t="str">
        <f t="shared" si="22"/>
        <v/>
      </c>
    </row>
    <row r="243" spans="1:21" ht="15.75" thickBot="1">
      <c r="A243" s="105"/>
      <c r="B243" s="115">
        <f>+B241+1</f>
        <v>147</v>
      </c>
      <c r="C243" s="114"/>
      <c r="D243" s="155"/>
      <c r="E243" s="172" t="str">
        <f>""&amp;'[5]OKT Historic TCOS'!O1&amp;" Avg Balances"</f>
        <v>2016 Avg Balances</v>
      </c>
      <c r="G243" s="172" t="s">
        <v>345</v>
      </c>
      <c r="H243" s="173" t="s">
        <v>344</v>
      </c>
      <c r="I243" s="131"/>
      <c r="J243" s="172" t="s">
        <v>343</v>
      </c>
      <c r="K243" s="131"/>
      <c r="L243" s="172" t="s">
        <v>342</v>
      </c>
      <c r="M243" s="143"/>
      <c r="N243" s="171" t="s">
        <v>342</v>
      </c>
      <c r="O243" s="157"/>
      <c r="P243" s="171" t="s">
        <v>342</v>
      </c>
      <c r="Q243" s="168"/>
      <c r="R243" s="168"/>
      <c r="S243" s="168"/>
      <c r="T243" s="168"/>
      <c r="U243" s="168"/>
    </row>
    <row r="244" spans="1:21">
      <c r="A244" s="105"/>
      <c r="B244" s="115">
        <f>+B243+1</f>
        <v>148</v>
      </c>
      <c r="C244" s="114"/>
      <c r="D244" s="131" t="s">
        <v>341</v>
      </c>
      <c r="E244" s="167">
        <v>1293342456</v>
      </c>
      <c r="G244" s="162">
        <f>IF($E$247&gt;0,E244/$E$247,0)</f>
        <v>0.52646522887754066</v>
      </c>
      <c r="H244" s="161">
        <f>IF(G246&gt;E249,1-H245-H246,0)</f>
        <v>0</v>
      </c>
      <c r="I244" s="160"/>
      <c r="J244" s="166">
        <f>IF(E244&gt;0,L234/E244,0)</f>
        <v>4.738076069622197E-2</v>
      </c>
      <c r="K244" s="120"/>
      <c r="L244" s="170">
        <f>IF(G$246&gt;E$249,J244*H244,J244*G244)</f>
        <v>2.4944323024328481E-2</v>
      </c>
      <c r="M244" s="143"/>
      <c r="N244" s="169">
        <v>2.4944323024328481E-2</v>
      </c>
      <c r="O244" s="157"/>
      <c r="P244" s="169">
        <f>IF(N244="","",N244-L244)</f>
        <v>0</v>
      </c>
      <c r="Q244" s="168"/>
      <c r="R244" s="168"/>
      <c r="S244" s="168"/>
      <c r="T244" s="168"/>
      <c r="U244" s="168"/>
    </row>
    <row r="245" spans="1:21">
      <c r="A245" s="105"/>
      <c r="B245" s="115">
        <f>+B244+1</f>
        <v>149</v>
      </c>
      <c r="C245" s="114"/>
      <c r="D245" s="131" t="s">
        <v>340</v>
      </c>
      <c r="E245" s="167">
        <v>0</v>
      </c>
      <c r="G245" s="162">
        <f>IF($E$247&gt;0,E245/$E$247,0)</f>
        <v>0</v>
      </c>
      <c r="H245" s="161">
        <f>IF(G246&gt;E249,G245,0)</f>
        <v>0</v>
      </c>
      <c r="I245" s="160"/>
      <c r="J245" s="166">
        <f>IF(E245&gt;0,L235/E245,0)</f>
        <v>0</v>
      </c>
      <c r="K245" s="120"/>
      <c r="L245" s="165">
        <f>IF(G$246&gt;E$249,J245*H245,J245*G245)</f>
        <v>0</v>
      </c>
      <c r="M245" s="143"/>
      <c r="N245" s="164">
        <v>0</v>
      </c>
      <c r="O245" s="157"/>
      <c r="P245" s="164">
        <f>IF(N245="","",N245-L245)</f>
        <v>0</v>
      </c>
    </row>
    <row r="246" spans="1:21" ht="15.75" thickBot="1">
      <c r="A246" s="105"/>
      <c r="B246" s="115">
        <f>+B245+1</f>
        <v>150</v>
      </c>
      <c r="C246" s="114"/>
      <c r="D246" s="155" t="str">
        <f>"Avg Common Stock  (ln "&amp;B241&amp;") (Note U)"</f>
        <v>Avg Common Stock  (ln 146) (Note U)</v>
      </c>
      <c r="E246" s="163">
        <f>+L241</f>
        <v>1163310680.9175</v>
      </c>
      <c r="G246" s="162">
        <f>IF($E$247&gt;0,E246/$E$247,0)</f>
        <v>0.47353477112245929</v>
      </c>
      <c r="H246" s="161">
        <f>IF(G246&gt;E249,E249,0)</f>
        <v>0</v>
      </c>
      <c r="I246" s="160"/>
      <c r="J246" s="159">
        <v>0.112</v>
      </c>
      <c r="K246" s="120"/>
      <c r="L246" s="158">
        <f>IF(G$246&gt;E$249,J246*H246,J246*G246)</f>
        <v>5.3035894365715444E-2</v>
      </c>
      <c r="M246" s="143"/>
      <c r="N246" s="156">
        <v>5.3035894365715444E-2</v>
      </c>
      <c r="O246" s="157"/>
      <c r="P246" s="156">
        <f>IF(N246="","",N246-L246)</f>
        <v>0</v>
      </c>
    </row>
    <row r="247" spans="1:21" ht="15.75">
      <c r="A247" s="105"/>
      <c r="B247" s="115">
        <f>+B246+1</f>
        <v>151</v>
      </c>
      <c r="C247" s="114"/>
      <c r="D247" s="155" t="str">
        <f>"  Total  (sum lns "&amp;B244&amp;" to "&amp;B246&amp;")"</f>
        <v xml:space="preserve">  Total  (sum lns 148 to 150)</v>
      </c>
      <c r="E247" s="154">
        <f>E246+E245+E244</f>
        <v>2456653136.9175</v>
      </c>
      <c r="G247" s="131" t="s">
        <v>288</v>
      </c>
      <c r="I247" s="131"/>
      <c r="J247" s="143"/>
      <c r="K247" s="153" t="s">
        <v>339</v>
      </c>
      <c r="L247" s="152">
        <f>SUM(L244:L246)</f>
        <v>7.7980217390043932E-2</v>
      </c>
      <c r="M247" s="143"/>
      <c r="N247" s="150">
        <v>7.7980217390043932E-2</v>
      </c>
      <c r="O247" s="151"/>
      <c r="P247" s="150">
        <f>IF(N247="","",N247-L247)</f>
        <v>0</v>
      </c>
    </row>
    <row r="248" spans="1:21">
      <c r="A248" s="105"/>
      <c r="B248" s="149"/>
      <c r="C248" s="108"/>
      <c r="D248" s="108"/>
      <c r="E248" s="143"/>
      <c r="F248" s="143"/>
      <c r="G248" s="143"/>
      <c r="H248" s="143"/>
      <c r="I248" s="143"/>
      <c r="J248" s="129"/>
      <c r="K248" s="129"/>
      <c r="L248" s="129"/>
      <c r="M248" s="143"/>
      <c r="N248" s="108"/>
      <c r="O248" s="111"/>
      <c r="P248" s="111"/>
      <c r="Q248" s="111"/>
      <c r="R248" s="111"/>
      <c r="S248" s="111"/>
      <c r="T248" s="111"/>
      <c r="U248" s="111"/>
    </row>
    <row r="249" spans="1:21">
      <c r="A249" s="105"/>
      <c r="B249" s="134">
        <f>+B247+1</f>
        <v>152</v>
      </c>
      <c r="C249" s="108"/>
      <c r="D249" s="148" t="s">
        <v>338</v>
      </c>
      <c r="E249" s="147">
        <f>+'[5]OKT Historic TCOS'!E262</f>
        <v>0.52500000000000002</v>
      </c>
      <c r="F249" s="143"/>
      <c r="G249" s="146"/>
      <c r="H249" s="143"/>
      <c r="I249" s="143"/>
      <c r="J249" s="131"/>
      <c r="K249" s="125"/>
      <c r="L249" s="131"/>
      <c r="M249" s="143"/>
      <c r="N249" s="108"/>
      <c r="O249" s="111"/>
      <c r="P249" s="111"/>
      <c r="Q249" s="111"/>
      <c r="R249" s="111"/>
      <c r="S249" s="111"/>
      <c r="T249" s="111"/>
      <c r="U249" s="111"/>
    </row>
    <row r="250" spans="1:21" s="105" customFormat="1">
      <c r="B250" s="115"/>
      <c r="C250" s="143"/>
      <c r="D250" s="143"/>
      <c r="E250" s="143"/>
      <c r="F250" s="143"/>
      <c r="G250" s="143"/>
      <c r="H250" s="143"/>
      <c r="I250" s="143"/>
      <c r="J250" s="131"/>
      <c r="K250" s="125"/>
      <c r="L250" s="131"/>
      <c r="M250" s="143"/>
      <c r="N250" s="143"/>
      <c r="O250" s="111"/>
      <c r="P250" s="111"/>
      <c r="Q250" s="111"/>
      <c r="R250" s="111"/>
      <c r="S250" s="111"/>
      <c r="T250" s="111"/>
      <c r="U250" s="111"/>
    </row>
    <row r="251" spans="1:21" ht="15.75">
      <c r="B251" s="134"/>
      <c r="C251" s="133"/>
      <c r="D251" s="145"/>
      <c r="E251" s="145"/>
      <c r="F251" s="140" t="str">
        <f>F186</f>
        <v xml:space="preserve">AEP West SPP Member Companies </v>
      </c>
      <c r="G251" s="144"/>
      <c r="H251" s="139"/>
      <c r="I251" s="139"/>
      <c r="J251" s="139"/>
      <c r="K251" s="138"/>
      <c r="L251" s="139"/>
      <c r="M251" s="143"/>
      <c r="N251" s="108"/>
      <c r="O251" s="111"/>
      <c r="P251" s="111"/>
      <c r="Q251" s="111"/>
      <c r="R251" s="111"/>
      <c r="S251" s="111"/>
      <c r="T251" s="111"/>
      <c r="U251" s="111"/>
    </row>
    <row r="252" spans="1:21">
      <c r="B252" s="134"/>
      <c r="C252" s="133"/>
      <c r="D252" s="142"/>
      <c r="E252" s="133"/>
      <c r="F252" s="140" t="str">
        <f>F187</f>
        <v>Transmission Cost of Service Formula Rate</v>
      </c>
      <c r="G252" s="139"/>
      <c r="H252" s="139"/>
      <c r="I252" s="139"/>
      <c r="J252" s="139"/>
      <c r="K252" s="138"/>
      <c r="L252" s="136"/>
      <c r="M252" s="108"/>
      <c r="N252" s="108"/>
      <c r="O252" s="111"/>
      <c r="P252" s="111"/>
      <c r="Q252" s="111"/>
      <c r="R252" s="111"/>
      <c r="S252" s="111"/>
      <c r="T252" s="111"/>
      <c r="U252" s="111"/>
    </row>
    <row r="253" spans="1:21" ht="15.75">
      <c r="B253" s="134"/>
      <c r="C253" s="133"/>
      <c r="D253" s="142"/>
      <c r="E253" s="141"/>
      <c r="F253" s="140" t="str">
        <f>F188</f>
        <v>Utilizing Actual Cost Data for 2016 with Average Ratebase Balances</v>
      </c>
      <c r="G253" s="139"/>
      <c r="H253" s="139"/>
      <c r="I253" s="139"/>
      <c r="J253" s="139"/>
      <c r="K253" s="138"/>
      <c r="L253" s="136"/>
      <c r="M253" s="108"/>
      <c r="N253" s="108"/>
      <c r="O253" s="111"/>
      <c r="P253" s="111"/>
      <c r="Q253" s="111"/>
      <c r="R253" s="111"/>
      <c r="S253" s="111"/>
      <c r="T253" s="111"/>
      <c r="U253" s="111"/>
    </row>
    <row r="254" spans="1:21" ht="15.75">
      <c r="B254" s="134"/>
      <c r="C254" s="133"/>
      <c r="D254" s="142"/>
      <c r="E254" s="141"/>
      <c r="F254" s="140"/>
      <c r="G254" s="139"/>
      <c r="H254" s="139"/>
      <c r="I254" s="139"/>
      <c r="J254" s="139"/>
      <c r="K254" s="138"/>
      <c r="L254" s="136"/>
      <c r="M254" s="108"/>
      <c r="N254" s="108"/>
      <c r="O254" s="111"/>
      <c r="P254" s="111"/>
      <c r="Q254" s="111"/>
      <c r="R254" s="111"/>
      <c r="S254" s="111"/>
      <c r="T254" s="111"/>
      <c r="U254" s="111"/>
    </row>
    <row r="255" spans="1:21" ht="15.75">
      <c r="B255" s="134"/>
      <c r="C255" s="133"/>
      <c r="D255" s="142"/>
      <c r="E255" s="141"/>
      <c r="F255" s="140" t="str">
        <f>F190</f>
        <v>AEP OKLAHOMA TRANSMISSION COMPANY, INC</v>
      </c>
      <c r="G255" s="139"/>
      <c r="H255" s="139"/>
      <c r="I255" s="139"/>
      <c r="J255" s="139"/>
      <c r="K255" s="138"/>
      <c r="L255" s="136"/>
      <c r="M255" s="108"/>
      <c r="N255" s="108"/>
      <c r="O255" s="111"/>
      <c r="P255" s="111"/>
      <c r="Q255" s="111"/>
      <c r="R255" s="111"/>
      <c r="S255" s="111"/>
      <c r="T255" s="111"/>
      <c r="U255" s="111"/>
    </row>
    <row r="256" spans="1:21" ht="15.75">
      <c r="B256" s="134"/>
      <c r="C256" s="133"/>
      <c r="D256" s="142"/>
      <c r="E256" s="141"/>
      <c r="F256" s="140"/>
      <c r="G256" s="139"/>
      <c r="H256" s="139"/>
      <c r="I256" s="139"/>
      <c r="J256" s="139"/>
      <c r="K256" s="138"/>
      <c r="L256" s="136"/>
      <c r="M256" s="108"/>
      <c r="N256" s="108"/>
      <c r="O256" s="111"/>
      <c r="P256" s="111"/>
      <c r="Q256" s="111"/>
      <c r="R256" s="111"/>
      <c r="S256" s="111"/>
      <c r="T256" s="111"/>
      <c r="U256" s="111"/>
    </row>
    <row r="257" spans="2:21" ht="15.75">
      <c r="B257" s="137" t="s">
        <v>337</v>
      </c>
      <c r="C257" s="132"/>
      <c r="D257" s="119"/>
      <c r="E257" s="125"/>
      <c r="F257" s="137" t="s">
        <v>336</v>
      </c>
      <c r="G257" s="131"/>
      <c r="H257" s="131"/>
      <c r="I257" s="131"/>
      <c r="J257" s="131"/>
      <c r="K257" s="125"/>
      <c r="L257" s="131"/>
      <c r="M257" s="108"/>
      <c r="N257" s="108"/>
      <c r="O257" s="111"/>
      <c r="P257" s="111"/>
      <c r="Q257" s="111"/>
      <c r="R257" s="111"/>
      <c r="S257" s="111"/>
      <c r="T257" s="111"/>
      <c r="U257" s="111"/>
    </row>
    <row r="258" spans="2:21">
      <c r="C258" s="132"/>
      <c r="L258" s="136"/>
      <c r="M258" s="108"/>
      <c r="N258" s="108"/>
      <c r="O258" s="111"/>
      <c r="P258" s="111"/>
      <c r="Q258" s="111"/>
      <c r="R258" s="111"/>
      <c r="S258" s="111"/>
      <c r="T258" s="111"/>
      <c r="U258" s="111"/>
    </row>
    <row r="259" spans="2:21">
      <c r="C259" s="132"/>
      <c r="D259" s="135" t="s">
        <v>335</v>
      </c>
      <c r="J259" s="118"/>
      <c r="K259" s="108"/>
      <c r="L259" s="108"/>
      <c r="M259" s="108"/>
      <c r="N259" s="108"/>
      <c r="O259" s="111"/>
      <c r="P259" s="111"/>
      <c r="Q259" s="111"/>
      <c r="R259" s="111"/>
      <c r="S259" s="111"/>
      <c r="T259" s="111"/>
      <c r="U259" s="111"/>
    </row>
    <row r="260" spans="2:21">
      <c r="B260" s="134"/>
      <c r="C260" s="133"/>
      <c r="D260" s="105" t="s">
        <v>334</v>
      </c>
      <c r="E260" s="114"/>
      <c r="F260" s="114"/>
      <c r="G260" s="131"/>
      <c r="H260" s="131"/>
      <c r="I260" s="131"/>
      <c r="J260" s="126"/>
      <c r="K260" s="108"/>
      <c r="L260" s="108"/>
      <c r="M260" s="108"/>
      <c r="N260" s="108"/>
      <c r="O260" s="111"/>
      <c r="P260" s="111"/>
      <c r="Q260" s="111"/>
      <c r="R260" s="111"/>
      <c r="S260" s="111"/>
      <c r="T260" s="111"/>
      <c r="U260" s="111"/>
    </row>
    <row r="261" spans="2:21">
      <c r="B261" s="104"/>
      <c r="D261" s="119" t="s">
        <v>333</v>
      </c>
      <c r="E261" s="125"/>
      <c r="F261" s="125"/>
      <c r="G261" s="131"/>
      <c r="H261" s="131"/>
      <c r="I261" s="131"/>
      <c r="J261" s="126"/>
      <c r="K261" s="108"/>
      <c r="L261" s="108"/>
      <c r="M261" s="108"/>
      <c r="N261" s="108"/>
      <c r="O261" s="111"/>
      <c r="P261" s="111"/>
      <c r="Q261" s="111"/>
      <c r="R261" s="111"/>
      <c r="S261" s="111"/>
      <c r="T261" s="111"/>
      <c r="U261" s="111"/>
    </row>
    <row r="262" spans="2:21">
      <c r="B262" s="104"/>
      <c r="D262" s="119"/>
      <c r="E262" s="125"/>
      <c r="F262" s="125"/>
      <c r="G262" s="131"/>
      <c r="H262" s="131"/>
      <c r="I262" s="131"/>
      <c r="J262" s="126"/>
      <c r="K262" s="108"/>
      <c r="L262" s="108"/>
      <c r="M262" s="108"/>
      <c r="N262" s="108"/>
      <c r="O262" s="111"/>
      <c r="P262" s="111"/>
      <c r="Q262" s="111"/>
      <c r="R262" s="111"/>
      <c r="S262" s="111"/>
      <c r="T262" s="111"/>
      <c r="U262" s="111"/>
    </row>
    <row r="263" spans="2:21">
      <c r="B263" s="123" t="s">
        <v>332</v>
      </c>
      <c r="C263" s="132"/>
      <c r="D263" s="119" t="s">
        <v>331</v>
      </c>
      <c r="E263" s="125"/>
      <c r="F263" s="125"/>
      <c r="G263" s="131"/>
      <c r="H263" s="131"/>
      <c r="I263" s="131"/>
      <c r="J263" s="126"/>
      <c r="K263" s="108"/>
      <c r="L263" s="108"/>
      <c r="M263" s="108"/>
      <c r="N263" s="108"/>
      <c r="O263" s="111"/>
      <c r="P263" s="111"/>
      <c r="Q263" s="111"/>
      <c r="R263" s="111"/>
      <c r="S263" s="111"/>
      <c r="T263" s="111"/>
      <c r="U263" s="111"/>
    </row>
    <row r="264" spans="2:21">
      <c r="B264" s="123"/>
      <c r="C264" s="122"/>
      <c r="D264" s="119" t="s">
        <v>330</v>
      </c>
      <c r="E264" s="125"/>
      <c r="F264" s="125"/>
      <c r="G264" s="125"/>
      <c r="H264" s="125"/>
      <c r="I264" s="125"/>
      <c r="J264" s="124"/>
      <c r="K264" s="108"/>
      <c r="L264" s="108"/>
      <c r="M264" s="108"/>
      <c r="N264" s="108"/>
      <c r="O264" s="111"/>
      <c r="P264" s="111"/>
      <c r="Q264" s="111"/>
      <c r="R264" s="111"/>
      <c r="S264" s="111"/>
      <c r="T264" s="111"/>
      <c r="U264" s="111"/>
    </row>
    <row r="265" spans="2:21">
      <c r="B265" s="121"/>
      <c r="C265" s="120"/>
      <c r="D265" s="119" t="s">
        <v>329</v>
      </c>
      <c r="E265" s="127"/>
      <c r="F265" s="127"/>
      <c r="G265" s="125"/>
      <c r="H265" s="125"/>
      <c r="I265" s="125"/>
      <c r="J265" s="124"/>
      <c r="K265" s="108"/>
      <c r="L265" s="108"/>
      <c r="M265" s="108"/>
      <c r="N265" s="108"/>
      <c r="O265" s="111"/>
      <c r="P265" s="111"/>
      <c r="Q265" s="111"/>
      <c r="R265" s="111"/>
      <c r="S265" s="111"/>
      <c r="T265" s="111"/>
      <c r="U265" s="111"/>
    </row>
    <row r="266" spans="2:21">
      <c r="B266" s="121"/>
      <c r="C266" s="120"/>
      <c r="D266" s="119" t="s">
        <v>328</v>
      </c>
      <c r="E266" s="125"/>
      <c r="F266" s="125"/>
      <c r="G266" s="125"/>
      <c r="H266" s="125"/>
      <c r="I266" s="125"/>
      <c r="J266" s="124"/>
      <c r="K266" s="108"/>
      <c r="L266" s="108"/>
      <c r="M266" s="108"/>
      <c r="N266" s="108"/>
      <c r="O266" s="111"/>
      <c r="P266" s="111"/>
      <c r="Q266" s="111"/>
      <c r="R266" s="111"/>
      <c r="S266" s="111"/>
      <c r="T266" s="111"/>
      <c r="U266" s="111"/>
    </row>
    <row r="267" spans="2:21">
      <c r="B267" s="115"/>
      <c r="C267" s="114"/>
      <c r="D267" s="119" t="s">
        <v>327</v>
      </c>
      <c r="E267" s="125"/>
      <c r="F267" s="125"/>
      <c r="G267" s="125"/>
      <c r="H267" s="125"/>
      <c r="I267" s="125"/>
      <c r="J267" s="124"/>
      <c r="K267" s="108"/>
      <c r="L267" s="108"/>
      <c r="M267" s="108"/>
      <c r="N267" s="108"/>
      <c r="O267" s="111"/>
      <c r="P267" s="111"/>
      <c r="Q267" s="111"/>
      <c r="R267" s="111"/>
      <c r="S267" s="111"/>
      <c r="T267" s="111"/>
      <c r="U267" s="111"/>
    </row>
    <row r="268" spans="2:21" ht="15" customHeight="1">
      <c r="B268" s="115"/>
      <c r="C268" s="114"/>
      <c r="D268" s="119"/>
      <c r="E268" s="125"/>
      <c r="F268" s="125"/>
      <c r="G268" s="125"/>
      <c r="H268" s="125"/>
      <c r="I268" s="125"/>
      <c r="J268" s="124"/>
      <c r="K268" s="108"/>
      <c r="L268" s="108"/>
      <c r="M268" s="108"/>
      <c r="N268" s="108"/>
      <c r="O268" s="111"/>
      <c r="P268" s="111"/>
      <c r="Q268" s="111"/>
      <c r="R268" s="111"/>
      <c r="S268" s="111"/>
      <c r="T268" s="111"/>
      <c r="U268" s="111"/>
    </row>
    <row r="269" spans="2:21">
      <c r="B269" s="115" t="s">
        <v>326</v>
      </c>
      <c r="C269" s="114"/>
      <c r="D269" s="130" t="s">
        <v>325</v>
      </c>
      <c r="E269" s="125"/>
      <c r="F269" s="125"/>
      <c r="G269" s="125"/>
      <c r="H269" s="125"/>
      <c r="I269" s="125"/>
      <c r="J269" s="124"/>
      <c r="K269" s="108"/>
      <c r="L269" s="108"/>
      <c r="M269" s="108"/>
      <c r="N269" s="108"/>
      <c r="O269" s="111"/>
      <c r="P269" s="111"/>
      <c r="Q269" s="111"/>
      <c r="R269" s="111"/>
      <c r="S269" s="111"/>
      <c r="T269" s="111"/>
      <c r="U269" s="111"/>
    </row>
    <row r="270" spans="2:21">
      <c r="B270" s="115"/>
      <c r="C270" s="114"/>
      <c r="D270" s="130"/>
      <c r="E270" s="125"/>
      <c r="F270" s="125"/>
      <c r="G270" s="125"/>
      <c r="H270" s="125"/>
      <c r="I270" s="125"/>
      <c r="J270" s="124"/>
      <c r="K270" s="108"/>
      <c r="L270" s="108"/>
      <c r="M270" s="108"/>
      <c r="N270" s="108"/>
      <c r="O270" s="111"/>
      <c r="P270" s="111"/>
      <c r="Q270" s="111"/>
      <c r="R270" s="111"/>
      <c r="S270" s="111"/>
      <c r="T270" s="111"/>
      <c r="U270" s="111"/>
    </row>
    <row r="271" spans="2:21">
      <c r="B271" s="115" t="s">
        <v>324</v>
      </c>
      <c r="C271" s="114"/>
      <c r="D271" s="129" t="s">
        <v>323</v>
      </c>
      <c r="E271" s="125"/>
      <c r="F271" s="125"/>
      <c r="G271" s="125"/>
      <c r="H271" s="125"/>
      <c r="I271" s="125"/>
      <c r="J271" s="124"/>
      <c r="K271" s="108"/>
      <c r="L271" s="108"/>
      <c r="M271" s="108"/>
      <c r="N271" s="108"/>
      <c r="O271" s="111"/>
      <c r="P271" s="111"/>
      <c r="Q271" s="111"/>
      <c r="R271" s="111"/>
      <c r="S271" s="111"/>
      <c r="T271" s="111"/>
      <c r="U271" s="111"/>
    </row>
    <row r="272" spans="2:21">
      <c r="B272" s="115"/>
      <c r="C272" s="114"/>
      <c r="D272" s="129" t="str">
        <f>"of the trued-up revenue requirement for each project, based on an FCR rate caclulated from inputs on this TCOS. Line "&amp;B35&amp;" shows the incremental ARR for"</f>
        <v>of the trued-up revenue requirement for each project, based on an FCR rate caclulated from inputs on this TCOS. Line 15 shows the incremental ARR for</v>
      </c>
      <c r="E272" s="125"/>
      <c r="F272" s="125"/>
      <c r="G272" s="125"/>
      <c r="H272" s="125"/>
      <c r="I272" s="125"/>
      <c r="J272" s="124"/>
      <c r="K272" s="108"/>
      <c r="L272" s="108"/>
      <c r="M272" s="108"/>
      <c r="N272" s="108"/>
      <c r="O272" s="111"/>
      <c r="P272" s="111"/>
      <c r="Q272" s="111"/>
      <c r="R272" s="111"/>
      <c r="S272" s="111"/>
      <c r="T272" s="111"/>
      <c r="U272" s="111"/>
    </row>
    <row r="273" spans="2:21">
      <c r="B273" s="115"/>
      <c r="C273" s="114"/>
      <c r="D273" s="129" t="s">
        <v>322</v>
      </c>
      <c r="E273" s="125"/>
      <c r="F273" s="125"/>
      <c r="G273" s="125"/>
      <c r="H273" s="125"/>
      <c r="I273" s="125"/>
      <c r="J273" s="124"/>
      <c r="K273" s="108"/>
      <c r="L273" s="108"/>
      <c r="M273" s="108"/>
      <c r="N273" s="108"/>
      <c r="O273" s="111"/>
      <c r="P273" s="119"/>
      <c r="Q273" s="119"/>
      <c r="R273" s="111"/>
      <c r="S273" s="111"/>
      <c r="T273" s="111"/>
      <c r="U273" s="111"/>
    </row>
    <row r="274" spans="2:21">
      <c r="B274" s="115"/>
      <c r="C274" s="114"/>
      <c r="D274" s="129"/>
      <c r="E274" s="125"/>
      <c r="F274" s="125"/>
      <c r="G274" s="125"/>
      <c r="H274" s="125"/>
      <c r="I274" s="125"/>
      <c r="J274" s="124"/>
      <c r="K274" s="108"/>
      <c r="L274" s="108"/>
      <c r="M274" s="108"/>
      <c r="N274" s="108"/>
      <c r="O274" s="111"/>
      <c r="P274" s="119"/>
      <c r="Q274" s="119"/>
      <c r="R274" s="111"/>
      <c r="S274" s="111"/>
      <c r="T274" s="111"/>
      <c r="U274" s="111"/>
    </row>
    <row r="275" spans="2:21">
      <c r="B275" s="115" t="s">
        <v>321</v>
      </c>
      <c r="C275" s="114"/>
      <c r="D275" s="473" t="s">
        <v>320</v>
      </c>
      <c r="E275" s="474"/>
      <c r="F275" s="474"/>
      <c r="G275" s="474"/>
      <c r="H275" s="474"/>
      <c r="I275" s="474"/>
      <c r="J275" s="474"/>
      <c r="K275" s="108"/>
      <c r="L275" s="108"/>
      <c r="M275" s="108"/>
      <c r="N275" s="108"/>
      <c r="O275" s="111"/>
      <c r="P275" s="119"/>
      <c r="Q275" s="119"/>
      <c r="R275" s="111"/>
      <c r="S275" s="111"/>
      <c r="T275" s="111"/>
      <c r="U275" s="111"/>
    </row>
    <row r="276" spans="2:21">
      <c r="B276" s="115"/>
      <c r="C276" s="114"/>
      <c r="D276" s="474"/>
      <c r="E276" s="474"/>
      <c r="F276" s="474"/>
      <c r="G276" s="474"/>
      <c r="H276" s="474"/>
      <c r="I276" s="474"/>
      <c r="J276" s="474"/>
      <c r="K276" s="108"/>
      <c r="L276" s="108"/>
      <c r="M276" s="108"/>
      <c r="N276" s="108"/>
      <c r="O276" s="111"/>
      <c r="P276" s="119"/>
      <c r="Q276" s="111"/>
      <c r="R276" s="111"/>
      <c r="S276" s="111"/>
      <c r="T276" s="111"/>
      <c r="U276" s="111"/>
    </row>
    <row r="277" spans="2:21">
      <c r="B277" s="115"/>
      <c r="C277" s="114"/>
      <c r="E277" s="125"/>
      <c r="F277" s="125"/>
      <c r="G277" s="125"/>
      <c r="H277" s="125"/>
      <c r="I277" s="125"/>
      <c r="J277" s="124"/>
      <c r="K277" s="108"/>
      <c r="L277" s="108"/>
      <c r="M277" s="108"/>
      <c r="N277" s="108"/>
      <c r="O277" s="111"/>
      <c r="P277" s="111"/>
      <c r="Q277" s="111"/>
      <c r="R277" s="111"/>
      <c r="S277" s="111"/>
      <c r="T277" s="111"/>
      <c r="U277" s="111"/>
    </row>
    <row r="278" spans="2:21">
      <c r="B278" s="115" t="s">
        <v>319</v>
      </c>
      <c r="C278" s="114"/>
      <c r="D278" s="119" t="s">
        <v>318</v>
      </c>
      <c r="E278" s="125"/>
      <c r="F278" s="125"/>
      <c r="G278" s="125"/>
      <c r="H278" s="125"/>
      <c r="I278" s="125"/>
      <c r="J278" s="124"/>
      <c r="K278" s="108"/>
      <c r="L278" s="108"/>
      <c r="M278" s="108"/>
      <c r="N278" s="108"/>
      <c r="O278" s="111"/>
      <c r="P278" s="111"/>
      <c r="Q278" s="111"/>
      <c r="R278" s="111"/>
      <c r="S278" s="111"/>
      <c r="T278" s="111"/>
      <c r="U278" s="111"/>
    </row>
    <row r="279" spans="2:21">
      <c r="B279" s="115"/>
      <c r="C279" s="114"/>
      <c r="D279" s="119" t="s">
        <v>317</v>
      </c>
      <c r="E279" s="125"/>
      <c r="F279" s="125"/>
      <c r="G279" s="125"/>
      <c r="H279" s="125"/>
      <c r="I279" s="125"/>
      <c r="J279" s="124"/>
      <c r="K279" s="108"/>
      <c r="L279" s="108"/>
      <c r="M279" s="108"/>
      <c r="N279" s="108"/>
      <c r="O279" s="111"/>
      <c r="P279" s="111"/>
      <c r="Q279" s="111"/>
      <c r="R279" s="111"/>
      <c r="S279" s="111"/>
      <c r="T279" s="111"/>
      <c r="U279" s="111"/>
    </row>
    <row r="280" spans="2:21">
      <c r="C280" s="114"/>
      <c r="D280" s="119" t="s">
        <v>316</v>
      </c>
      <c r="E280" s="125"/>
      <c r="F280" s="125"/>
      <c r="G280" s="125"/>
      <c r="H280" s="125"/>
      <c r="I280" s="125"/>
      <c r="J280" s="124"/>
      <c r="K280" s="108"/>
      <c r="L280" s="108"/>
      <c r="M280" s="108"/>
      <c r="N280" s="108"/>
      <c r="O280" s="111"/>
      <c r="P280" s="111"/>
      <c r="Q280" s="111"/>
      <c r="R280" s="111"/>
      <c r="S280" s="111"/>
      <c r="T280" s="111"/>
      <c r="U280" s="111"/>
    </row>
    <row r="281" spans="2:21">
      <c r="B281" s="115"/>
      <c r="C281" s="114"/>
      <c r="D281" s="119" t="s">
        <v>315</v>
      </c>
      <c r="E281" s="125"/>
      <c r="F281" s="125"/>
      <c r="G281" s="125"/>
      <c r="H281" s="125"/>
      <c r="I281" s="125"/>
      <c r="J281" s="124"/>
      <c r="K281" s="108"/>
      <c r="L281" s="108"/>
      <c r="M281" s="108"/>
      <c r="N281" s="108"/>
      <c r="O281" s="111"/>
      <c r="P281" s="111"/>
      <c r="Q281" s="111"/>
      <c r="R281" s="111"/>
      <c r="S281" s="111"/>
      <c r="T281" s="111"/>
      <c r="U281" s="111"/>
    </row>
    <row r="282" spans="2:21">
      <c r="B282" s="115"/>
      <c r="C282" s="114"/>
      <c r="D282" s="119"/>
      <c r="E282" s="125"/>
      <c r="F282" s="125"/>
      <c r="G282" s="125"/>
      <c r="H282" s="125"/>
      <c r="I282" s="125"/>
      <c r="J282" s="124"/>
      <c r="K282" s="108"/>
      <c r="L282" s="108"/>
      <c r="M282" s="108"/>
      <c r="N282" s="108"/>
      <c r="O282" s="111"/>
      <c r="P282" s="111"/>
      <c r="Q282" s="111"/>
      <c r="R282" s="111"/>
      <c r="S282" s="111"/>
      <c r="T282" s="111"/>
      <c r="U282" s="111"/>
    </row>
    <row r="283" spans="2:21">
      <c r="B283" s="115" t="s">
        <v>314</v>
      </c>
      <c r="C283" s="114"/>
      <c r="D283" s="119" t="s">
        <v>313</v>
      </c>
      <c r="E283" s="125"/>
      <c r="F283" s="125"/>
      <c r="G283" s="125"/>
      <c r="H283" s="125"/>
      <c r="I283" s="125"/>
      <c r="J283" s="124"/>
      <c r="K283" s="108"/>
      <c r="L283" s="108"/>
      <c r="M283" s="108"/>
      <c r="N283" s="108"/>
      <c r="O283" s="111"/>
      <c r="P283" s="111"/>
      <c r="Q283" s="111"/>
      <c r="R283" s="111"/>
      <c r="S283" s="111"/>
      <c r="T283" s="111"/>
      <c r="U283" s="111"/>
    </row>
    <row r="284" spans="2:21">
      <c r="B284" s="115"/>
      <c r="C284" s="114"/>
      <c r="D284" s="119"/>
      <c r="E284" s="125"/>
      <c r="F284" s="125"/>
      <c r="G284" s="125"/>
      <c r="H284" s="125"/>
      <c r="I284" s="125"/>
      <c r="J284" s="124"/>
      <c r="K284" s="108"/>
      <c r="L284" s="108"/>
      <c r="M284" s="108"/>
      <c r="N284" s="108"/>
      <c r="O284" s="111"/>
      <c r="P284" s="111"/>
      <c r="Q284" s="111"/>
      <c r="R284" s="111"/>
      <c r="S284" s="111"/>
      <c r="T284" s="111"/>
      <c r="U284" s="111"/>
    </row>
    <row r="285" spans="2:21">
      <c r="B285" s="115" t="s">
        <v>312</v>
      </c>
      <c r="C285" s="114"/>
      <c r="D285" s="119" t="str">
        <f>"Cash Working Capital assigned to transmission is one-eighth of O&amp;M allocated to transmission on line "&amp;B130&amp;"."</f>
        <v>Cash Working Capital assigned to transmission is one-eighth of O&amp;M allocated to transmission on line 68.</v>
      </c>
      <c r="E285" s="125"/>
      <c r="F285" s="125"/>
      <c r="G285" s="125"/>
      <c r="H285" s="125"/>
      <c r="I285" s="125"/>
      <c r="J285" s="124"/>
      <c r="K285" s="108"/>
      <c r="L285" s="108"/>
      <c r="M285" s="108"/>
      <c r="N285" s="108"/>
      <c r="O285" s="111"/>
      <c r="P285" s="111"/>
      <c r="Q285" s="111"/>
      <c r="R285" s="111"/>
      <c r="S285" s="111"/>
      <c r="T285" s="111"/>
      <c r="U285" s="111"/>
    </row>
    <row r="286" spans="2:21">
      <c r="B286" s="115"/>
      <c r="C286" s="114"/>
      <c r="D286" s="119"/>
      <c r="E286" s="125"/>
      <c r="F286" s="125"/>
      <c r="G286" s="125"/>
      <c r="H286" s="125"/>
      <c r="I286" s="125"/>
      <c r="J286" s="124"/>
      <c r="K286" s="108"/>
      <c r="L286" s="108"/>
      <c r="M286" s="108"/>
      <c r="N286" s="108"/>
      <c r="O286" s="111"/>
      <c r="P286" s="111"/>
      <c r="Q286" s="111"/>
      <c r="R286" s="111"/>
      <c r="S286" s="111"/>
      <c r="T286" s="111"/>
      <c r="U286" s="111"/>
    </row>
    <row r="287" spans="2:21">
      <c r="B287" s="123" t="s">
        <v>311</v>
      </c>
      <c r="C287" s="122"/>
      <c r="D287" s="120" t="str">
        <f>"Consistent with Paragraph 657 of Order 2003-A, the amount on line "&amp;B109&amp;" is equal to the balance of IPP System Upgrade Credits owed to transmission customers that"</f>
        <v>Consistent with Paragraph 657 of Order 2003-A, the amount on line 62 is equal to the balance of IPP System Upgrade Credits owed to transmission customers that</v>
      </c>
      <c r="E287" s="120"/>
      <c r="F287" s="120"/>
      <c r="G287" s="120"/>
      <c r="H287" s="120"/>
      <c r="I287" s="120"/>
      <c r="J287" s="126"/>
      <c r="K287" s="108"/>
      <c r="L287" s="108"/>
      <c r="M287" s="108"/>
      <c r="N287" s="108"/>
      <c r="O287" s="111"/>
      <c r="P287" s="111"/>
      <c r="Q287" s="111"/>
      <c r="R287" s="111"/>
      <c r="S287" s="111"/>
      <c r="T287" s="111"/>
      <c r="U287" s="111"/>
    </row>
    <row r="288" spans="2:21">
      <c r="B288" s="121"/>
      <c r="C288" s="120"/>
      <c r="D288" s="120" t="s">
        <v>310</v>
      </c>
      <c r="E288" s="120"/>
      <c r="F288" s="120"/>
      <c r="G288" s="120"/>
      <c r="H288" s="120"/>
      <c r="I288" s="120"/>
      <c r="J288" s="126"/>
      <c r="K288" s="108"/>
      <c r="L288" s="108"/>
      <c r="M288" s="108"/>
      <c r="N288" s="108"/>
      <c r="O288" s="111"/>
      <c r="P288" s="111"/>
      <c r="Q288" s="111"/>
      <c r="R288" s="111"/>
      <c r="S288" s="111"/>
      <c r="T288" s="111"/>
      <c r="U288" s="111"/>
    </row>
    <row r="289" spans="2:21">
      <c r="B289" s="121"/>
      <c r="C289" s="120"/>
      <c r="D289" s="120" t="str">
        <f>"expense is included on line "&amp;B176&amp;"."</f>
        <v>expense is included on line 105.</v>
      </c>
      <c r="E289" s="120"/>
      <c r="F289" s="120"/>
      <c r="G289" s="120"/>
      <c r="H289" s="120"/>
      <c r="I289" s="120"/>
      <c r="J289" s="126"/>
      <c r="K289" s="108"/>
      <c r="L289" s="108"/>
      <c r="M289" s="108"/>
      <c r="N289" s="108"/>
      <c r="O289" s="111"/>
      <c r="P289" s="111"/>
      <c r="Q289" s="111"/>
      <c r="R289" s="111"/>
      <c r="S289" s="111"/>
      <c r="T289" s="111"/>
      <c r="U289" s="111"/>
    </row>
    <row r="290" spans="2:21">
      <c r="B290" s="121"/>
      <c r="C290" s="120"/>
      <c r="D290" s="120"/>
      <c r="E290" s="120"/>
      <c r="F290" s="120"/>
      <c r="G290" s="120"/>
      <c r="H290" s="120"/>
      <c r="I290" s="120"/>
      <c r="J290" s="126"/>
      <c r="K290" s="108"/>
      <c r="L290" s="108"/>
      <c r="M290" s="108"/>
      <c r="N290" s="108"/>
      <c r="O290" s="111"/>
      <c r="P290" s="111"/>
      <c r="Q290" s="111"/>
      <c r="R290" s="111"/>
      <c r="S290" s="111"/>
      <c r="T290" s="111"/>
      <c r="U290" s="111"/>
    </row>
    <row r="291" spans="2:21">
      <c r="B291" s="123" t="s">
        <v>309</v>
      </c>
      <c r="C291" s="120"/>
      <c r="D291" s="119" t="s">
        <v>308</v>
      </c>
      <c r="E291" s="120"/>
      <c r="F291" s="120"/>
      <c r="G291" s="120"/>
      <c r="H291" s="120"/>
      <c r="I291" s="120"/>
      <c r="J291" s="126"/>
      <c r="K291" s="108"/>
      <c r="L291" s="108"/>
      <c r="M291" s="108"/>
      <c r="N291" s="108"/>
      <c r="O291" s="111"/>
      <c r="P291" s="111"/>
      <c r="Q291" s="111"/>
      <c r="R291" s="111"/>
      <c r="S291" s="111"/>
      <c r="T291" s="111"/>
      <c r="U291" s="111"/>
    </row>
    <row r="292" spans="2:21">
      <c r="B292" s="123"/>
      <c r="C292" s="120"/>
      <c r="D292" s="119"/>
      <c r="E292" s="120"/>
      <c r="F292" s="120"/>
      <c r="G292" s="120"/>
      <c r="H292" s="120"/>
      <c r="I292" s="120"/>
      <c r="J292" s="126"/>
      <c r="K292" s="108"/>
      <c r="L292" s="108"/>
      <c r="M292" s="108"/>
      <c r="N292" s="108"/>
      <c r="O292" s="111"/>
      <c r="P292" s="111"/>
      <c r="Q292" s="111"/>
      <c r="R292" s="111"/>
      <c r="S292" s="111"/>
      <c r="T292" s="111"/>
      <c r="U292" s="111"/>
    </row>
    <row r="293" spans="2:21">
      <c r="B293" s="123" t="s">
        <v>307</v>
      </c>
      <c r="C293" s="120"/>
      <c r="D293" s="120" t="s">
        <v>306</v>
      </c>
      <c r="E293" s="120"/>
      <c r="F293" s="120"/>
      <c r="G293" s="120"/>
      <c r="H293" s="120"/>
      <c r="I293" s="120"/>
      <c r="J293" s="126"/>
      <c r="K293" s="108"/>
      <c r="L293" s="108"/>
      <c r="M293" s="108"/>
      <c r="N293" s="108"/>
      <c r="O293" s="111"/>
      <c r="P293" s="111"/>
      <c r="Q293" s="111"/>
      <c r="R293" s="111"/>
      <c r="S293" s="111"/>
      <c r="T293" s="111"/>
      <c r="U293" s="111"/>
    </row>
    <row r="294" spans="2:21">
      <c r="B294" s="123"/>
      <c r="C294" s="120"/>
      <c r="D294" s="120"/>
      <c r="E294" s="120"/>
      <c r="F294" s="120"/>
      <c r="G294" s="120"/>
      <c r="H294" s="120"/>
      <c r="I294" s="120"/>
      <c r="J294" s="126"/>
      <c r="K294" s="108"/>
      <c r="L294" s="108"/>
      <c r="M294" s="108"/>
      <c r="N294" s="108"/>
      <c r="O294" s="111"/>
      <c r="P294" s="111"/>
      <c r="Q294" s="111"/>
      <c r="R294" s="111"/>
      <c r="S294" s="111"/>
      <c r="T294" s="111"/>
      <c r="U294" s="111"/>
    </row>
    <row r="295" spans="2:21">
      <c r="B295" s="115" t="s">
        <v>305</v>
      </c>
      <c r="C295" s="120"/>
      <c r="D295" s="120" t="s">
        <v>304</v>
      </c>
      <c r="E295" s="120"/>
      <c r="F295" s="120"/>
      <c r="G295" s="120"/>
      <c r="H295" s="120"/>
      <c r="I295" s="120"/>
      <c r="J295" s="126"/>
      <c r="K295" s="108"/>
      <c r="L295" s="108"/>
      <c r="M295" s="108"/>
      <c r="N295" s="108"/>
      <c r="O295" s="111"/>
      <c r="P295" s="111"/>
      <c r="Q295" s="111"/>
      <c r="R295" s="111"/>
      <c r="S295" s="111"/>
      <c r="T295" s="111"/>
      <c r="U295" s="111"/>
    </row>
    <row r="296" spans="2:21">
      <c r="B296" s="123"/>
      <c r="C296" s="120"/>
      <c r="D296" s="120"/>
      <c r="E296" s="120"/>
      <c r="F296" s="120"/>
      <c r="G296" s="120"/>
      <c r="H296" s="120"/>
      <c r="I296" s="120"/>
      <c r="J296" s="126"/>
      <c r="K296" s="108"/>
      <c r="L296" s="108"/>
      <c r="M296" s="108"/>
      <c r="N296" s="108"/>
      <c r="O296" s="111"/>
      <c r="P296" s="111"/>
      <c r="Q296" s="111"/>
      <c r="R296" s="111"/>
      <c r="S296" s="111"/>
      <c r="T296" s="111"/>
      <c r="U296" s="111"/>
    </row>
    <row r="297" spans="2:21">
      <c r="B297" s="115" t="s">
        <v>303</v>
      </c>
      <c r="C297" s="114"/>
      <c r="D297" s="119" t="s">
        <v>302</v>
      </c>
      <c r="E297" s="125"/>
      <c r="F297" s="125"/>
      <c r="G297" s="125"/>
      <c r="H297" s="125"/>
      <c r="I297" s="125"/>
      <c r="J297" s="124"/>
      <c r="K297" s="108"/>
      <c r="L297" s="108"/>
      <c r="M297" s="108"/>
      <c r="N297" s="108"/>
      <c r="O297" s="111"/>
      <c r="P297" s="111"/>
      <c r="Q297" s="111"/>
      <c r="R297" s="111"/>
      <c r="S297" s="111"/>
      <c r="T297" s="111"/>
      <c r="U297" s="111"/>
    </row>
    <row r="298" spans="2:21">
      <c r="B298" s="115"/>
      <c r="C298" s="114"/>
      <c r="D298" s="119" t="s">
        <v>301</v>
      </c>
      <c r="E298" s="125"/>
      <c r="F298" s="125"/>
      <c r="G298" s="125"/>
      <c r="H298" s="125"/>
      <c r="I298" s="125"/>
      <c r="J298" s="124"/>
      <c r="K298" s="108"/>
      <c r="L298" s="108"/>
      <c r="M298" s="108"/>
      <c r="N298" s="108"/>
      <c r="O298" s="111"/>
      <c r="P298" s="111"/>
      <c r="Q298" s="111"/>
      <c r="R298" s="111"/>
      <c r="S298" s="111"/>
      <c r="T298" s="111"/>
      <c r="U298" s="111"/>
    </row>
    <row r="299" spans="2:21">
      <c r="B299" s="115"/>
      <c r="C299" s="114"/>
      <c r="D299" s="119" t="s">
        <v>300</v>
      </c>
      <c r="E299" s="125"/>
      <c r="F299" s="125"/>
      <c r="G299" s="125"/>
      <c r="H299" s="125"/>
      <c r="I299" s="125"/>
      <c r="J299" s="124"/>
      <c r="K299" s="108"/>
      <c r="L299" s="108"/>
      <c r="M299" s="108"/>
      <c r="N299" s="108"/>
      <c r="O299" s="111"/>
      <c r="P299" s="111"/>
      <c r="Q299" s="111"/>
      <c r="R299" s="111"/>
      <c r="S299" s="111"/>
      <c r="T299" s="111"/>
      <c r="U299" s="111"/>
    </row>
    <row r="300" spans="2:21">
      <c r="B300" s="115"/>
      <c r="C300" s="114"/>
      <c r="D300" s="120" t="s">
        <v>299</v>
      </c>
      <c r="E300" s="125"/>
      <c r="F300" s="125"/>
      <c r="G300" s="125"/>
      <c r="H300" s="125"/>
      <c r="I300" s="125"/>
      <c r="J300" s="124"/>
      <c r="K300" s="108"/>
      <c r="L300" s="108"/>
      <c r="M300" s="108"/>
      <c r="N300" s="108"/>
      <c r="O300" s="111"/>
      <c r="P300" s="111"/>
      <c r="Q300" s="111"/>
      <c r="R300" s="111"/>
      <c r="S300" s="111"/>
      <c r="T300" s="111"/>
      <c r="U300" s="111"/>
    </row>
    <row r="301" spans="2:21">
      <c r="B301" s="115"/>
      <c r="C301" s="114"/>
      <c r="D301" s="120"/>
      <c r="E301" s="125"/>
      <c r="F301" s="125"/>
      <c r="G301" s="125"/>
      <c r="H301" s="125"/>
      <c r="I301" s="125"/>
      <c r="J301" s="124"/>
      <c r="K301" s="108"/>
      <c r="L301" s="108"/>
      <c r="M301" s="108"/>
      <c r="N301" s="108"/>
      <c r="O301" s="111"/>
      <c r="P301" s="111"/>
      <c r="Q301" s="111"/>
      <c r="R301" s="111"/>
      <c r="S301" s="111"/>
      <c r="T301" s="111"/>
      <c r="U301" s="111"/>
    </row>
    <row r="302" spans="2:21">
      <c r="B302" s="115" t="s">
        <v>298</v>
      </c>
      <c r="C302" s="114"/>
      <c r="D302" s="476" t="s">
        <v>297</v>
      </c>
      <c r="E302" s="474"/>
      <c r="F302" s="474"/>
      <c r="G302" s="474"/>
      <c r="H302" s="474"/>
      <c r="I302" s="474"/>
      <c r="J302" s="474"/>
      <c r="K302" s="108"/>
      <c r="L302" s="108"/>
      <c r="M302" s="108"/>
      <c r="N302" s="108"/>
      <c r="O302" s="111"/>
      <c r="P302" s="111"/>
      <c r="Q302" s="111"/>
      <c r="R302" s="111"/>
      <c r="S302" s="111"/>
      <c r="T302" s="111"/>
      <c r="U302" s="111"/>
    </row>
    <row r="303" spans="2:21">
      <c r="B303" s="115"/>
      <c r="C303" s="114"/>
      <c r="D303" s="120"/>
      <c r="E303" s="125"/>
      <c r="F303" s="125"/>
      <c r="G303" s="125"/>
      <c r="H303" s="125"/>
      <c r="I303" s="125"/>
      <c r="J303" s="124"/>
      <c r="K303" s="108"/>
      <c r="L303" s="108"/>
      <c r="M303" s="108"/>
      <c r="N303" s="108"/>
      <c r="O303" s="111"/>
      <c r="P303" s="111"/>
      <c r="Q303" s="111"/>
      <c r="R303" s="111"/>
      <c r="S303" s="111"/>
      <c r="T303" s="111"/>
      <c r="U303" s="111"/>
    </row>
    <row r="304" spans="2:21">
      <c r="B304" s="128" t="s">
        <v>296</v>
      </c>
      <c r="C304" s="114"/>
      <c r="D304" s="477" t="s">
        <v>295</v>
      </c>
      <c r="E304" s="474"/>
      <c r="F304" s="474"/>
      <c r="G304" s="474"/>
      <c r="H304" s="474"/>
      <c r="I304" s="474"/>
      <c r="J304" s="474"/>
      <c r="K304" s="108"/>
      <c r="L304" s="108"/>
      <c r="M304" s="108"/>
      <c r="N304" s="108"/>
      <c r="O304" s="111"/>
      <c r="P304" s="111"/>
      <c r="Q304" s="111"/>
      <c r="R304" s="111"/>
      <c r="S304" s="111"/>
      <c r="T304" s="111"/>
      <c r="U304" s="111"/>
    </row>
    <row r="305" spans="2:21">
      <c r="B305" s="128"/>
      <c r="C305" s="114"/>
      <c r="D305" s="474"/>
      <c r="E305" s="474"/>
      <c r="F305" s="474"/>
      <c r="G305" s="474"/>
      <c r="H305" s="474"/>
      <c r="I305" s="474"/>
      <c r="J305" s="474"/>
      <c r="K305" s="108"/>
      <c r="L305" s="108"/>
      <c r="M305" s="108"/>
      <c r="N305" s="108"/>
      <c r="O305" s="111"/>
      <c r="P305" s="111"/>
      <c r="Q305" s="111"/>
      <c r="R305" s="111"/>
      <c r="S305" s="111"/>
      <c r="T305" s="111"/>
      <c r="U305" s="111"/>
    </row>
    <row r="306" spans="2:21">
      <c r="B306" s="128"/>
      <c r="C306" s="114"/>
      <c r="D306" s="119"/>
      <c r="E306" s="120"/>
      <c r="F306" s="120"/>
      <c r="G306" s="120"/>
      <c r="H306" s="120"/>
      <c r="I306" s="120"/>
      <c r="J306" s="126"/>
      <c r="K306" s="108"/>
      <c r="L306" s="108"/>
      <c r="M306" s="108"/>
      <c r="N306" s="108"/>
      <c r="O306" s="111"/>
      <c r="P306" s="111"/>
      <c r="Q306" s="111"/>
      <c r="R306" s="111"/>
      <c r="S306" s="111"/>
      <c r="T306" s="111"/>
      <c r="U306" s="111"/>
    </row>
    <row r="307" spans="2:21">
      <c r="B307" s="115" t="s">
        <v>294</v>
      </c>
      <c r="C307" s="114"/>
      <c r="D307" s="119" t="s">
        <v>293</v>
      </c>
      <c r="E307" s="125"/>
      <c r="F307" s="125"/>
      <c r="G307" s="125"/>
      <c r="H307" s="125"/>
      <c r="I307" s="125"/>
      <c r="J307" s="124"/>
      <c r="K307" s="108"/>
      <c r="L307" s="108"/>
      <c r="M307" s="108"/>
      <c r="N307" s="108"/>
      <c r="O307" s="111"/>
      <c r="P307" s="111"/>
      <c r="Q307" s="111"/>
      <c r="R307" s="111"/>
      <c r="S307" s="111"/>
      <c r="T307" s="111"/>
      <c r="U307" s="111"/>
    </row>
    <row r="308" spans="2:21">
      <c r="B308" s="115"/>
      <c r="C308" s="114"/>
      <c r="D308" s="119" t="s">
        <v>292</v>
      </c>
      <c r="E308" s="125"/>
      <c r="F308" s="125"/>
      <c r="G308" s="125"/>
      <c r="H308" s="125"/>
      <c r="I308" s="125"/>
      <c r="J308" s="124"/>
      <c r="K308" s="108"/>
      <c r="L308" s="108"/>
      <c r="M308" s="108"/>
      <c r="N308" s="108"/>
      <c r="O308" s="111"/>
      <c r="P308" s="111"/>
      <c r="Q308" s="111"/>
      <c r="R308" s="111"/>
      <c r="S308" s="111"/>
      <c r="T308" s="111"/>
      <c r="U308" s="111"/>
    </row>
    <row r="309" spans="2:21">
      <c r="B309" s="115"/>
      <c r="C309" s="114"/>
      <c r="D309" s="119" t="s">
        <v>291</v>
      </c>
      <c r="E309" s="125"/>
      <c r="F309" s="125"/>
      <c r="G309" s="125"/>
      <c r="H309" s="125"/>
      <c r="I309" s="125"/>
      <c r="J309" s="124"/>
      <c r="K309" s="108"/>
      <c r="L309" s="108"/>
      <c r="M309" s="108"/>
      <c r="N309" s="108"/>
      <c r="O309" s="111"/>
      <c r="P309" s="111"/>
      <c r="Q309" s="111"/>
      <c r="R309" s="111"/>
      <c r="S309" s="111"/>
      <c r="T309" s="111"/>
      <c r="U309" s="111"/>
    </row>
    <row r="310" spans="2:21">
      <c r="B310" s="115"/>
      <c r="C310" s="114"/>
      <c r="D310" s="119" t="s">
        <v>290</v>
      </c>
      <c r="E310" s="125"/>
      <c r="F310" s="125"/>
      <c r="G310" s="125"/>
      <c r="H310" s="125"/>
      <c r="I310" s="125"/>
      <c r="J310" s="124"/>
      <c r="K310" s="108"/>
      <c r="L310" s="108"/>
      <c r="M310" s="108"/>
      <c r="N310" s="108"/>
      <c r="O310" s="111"/>
      <c r="P310" s="111"/>
      <c r="Q310" s="111"/>
      <c r="R310" s="111"/>
      <c r="S310" s="111"/>
      <c r="T310" s="111"/>
      <c r="U310" s="111"/>
    </row>
    <row r="311" spans="2:21">
      <c r="B311" s="115"/>
      <c r="C311" s="114"/>
      <c r="D311" s="119" t="s">
        <v>289</v>
      </c>
      <c r="E311" s="125"/>
      <c r="F311" s="125"/>
      <c r="G311" s="125"/>
      <c r="H311" s="125"/>
      <c r="I311" s="125"/>
      <c r="J311" s="124"/>
      <c r="K311" s="108"/>
      <c r="L311" s="108"/>
      <c r="M311" s="108"/>
      <c r="N311" s="108"/>
      <c r="O311" s="111"/>
      <c r="P311" s="111"/>
      <c r="Q311" s="111"/>
      <c r="R311" s="111"/>
      <c r="S311" s="111"/>
      <c r="T311" s="111"/>
      <c r="U311" s="111"/>
    </row>
    <row r="312" spans="2:21">
      <c r="B312" s="115"/>
      <c r="C312" s="114"/>
      <c r="D312" s="119" t="str">
        <f>"(ln "&amp;B163&amp;") multiplied by (1/1-T) .  If the applicable tax rates are zero enter 0."</f>
        <v>(ln 95) multiplied by (1/1-T) .  If the applicable tax rates are zero enter 0.</v>
      </c>
      <c r="E312" s="125"/>
      <c r="F312" s="125"/>
      <c r="G312" s="125"/>
      <c r="H312" s="125"/>
      <c r="I312" s="125"/>
      <c r="J312" s="124"/>
      <c r="K312" s="108"/>
      <c r="L312" s="108"/>
      <c r="M312" s="108"/>
      <c r="N312" s="108"/>
      <c r="O312" s="111"/>
      <c r="P312" s="111"/>
      <c r="Q312" s="111"/>
      <c r="R312" s="111"/>
      <c r="S312" s="111"/>
      <c r="T312" s="111"/>
      <c r="U312" s="111"/>
    </row>
    <row r="313" spans="2:21">
      <c r="B313" s="115" t="s">
        <v>288</v>
      </c>
      <c r="C313" s="114"/>
      <c r="D313" s="119" t="s">
        <v>287</v>
      </c>
      <c r="E313" s="125" t="s">
        <v>286</v>
      </c>
      <c r="F313" s="127">
        <f>+'[5]OKT Historic TCOS'!F326</f>
        <v>0.35</v>
      </c>
      <c r="G313" s="125"/>
      <c r="I313" s="125"/>
      <c r="J313" s="124"/>
      <c r="K313" s="108"/>
      <c r="L313" s="108"/>
      <c r="M313" s="108"/>
      <c r="N313" s="108"/>
      <c r="O313" s="111"/>
      <c r="P313" s="111"/>
      <c r="Q313" s="111"/>
      <c r="R313" s="111"/>
      <c r="S313" s="111"/>
      <c r="T313" s="111"/>
      <c r="U313" s="111"/>
    </row>
    <row r="314" spans="2:21">
      <c r="B314" s="115"/>
      <c r="C314" s="114"/>
      <c r="D314" s="119"/>
      <c r="E314" s="125" t="s">
        <v>285</v>
      </c>
      <c r="F314" s="127">
        <f>+'[5]OKT WS K State Taxes'!F18</f>
        <v>5.6599999999999998E-2</v>
      </c>
      <c r="G314" s="125" t="s">
        <v>284</v>
      </c>
      <c r="I314" s="125"/>
      <c r="J314" s="124"/>
      <c r="K314" s="108"/>
      <c r="L314" s="108"/>
      <c r="M314" s="108"/>
      <c r="N314" s="108"/>
      <c r="O314" s="111"/>
      <c r="P314" s="111"/>
      <c r="Q314" s="111"/>
      <c r="R314" s="111"/>
      <c r="S314" s="111"/>
      <c r="T314" s="111"/>
      <c r="U314" s="111"/>
    </row>
    <row r="315" spans="2:21">
      <c r="B315" s="115"/>
      <c r="C315" s="114"/>
      <c r="D315" s="119"/>
      <c r="E315" s="125" t="s">
        <v>283</v>
      </c>
      <c r="F315" s="127">
        <f>+'[5]OKT Historic TCOS'!F328</f>
        <v>0</v>
      </c>
      <c r="G315" s="125" t="s">
        <v>282</v>
      </c>
      <c r="I315" s="125"/>
      <c r="J315" s="124"/>
      <c r="K315" s="108"/>
      <c r="L315" s="108"/>
      <c r="M315" s="108"/>
      <c r="N315" s="108"/>
      <c r="O315" s="111"/>
      <c r="P315" s="111"/>
      <c r="Q315" s="111"/>
      <c r="R315" s="111"/>
      <c r="S315" s="111"/>
      <c r="T315" s="111"/>
      <c r="U315" s="111"/>
    </row>
    <row r="316" spans="2:21">
      <c r="B316" s="115"/>
      <c r="C316" s="114"/>
      <c r="D316" s="119"/>
      <c r="E316" s="125"/>
      <c r="F316" s="127"/>
      <c r="G316" s="125"/>
      <c r="I316" s="125"/>
      <c r="J316" s="124"/>
      <c r="K316" s="108"/>
      <c r="L316" s="108"/>
      <c r="M316" s="108"/>
      <c r="N316" s="108"/>
      <c r="O316" s="111"/>
      <c r="P316" s="111"/>
      <c r="Q316" s="111"/>
      <c r="R316" s="111"/>
      <c r="S316" s="111"/>
      <c r="T316" s="111"/>
      <c r="U316" s="111"/>
    </row>
    <row r="317" spans="2:21">
      <c r="B317" s="115" t="s">
        <v>281</v>
      </c>
      <c r="C317" s="114"/>
      <c r="D317" s="119" t="s">
        <v>280</v>
      </c>
      <c r="E317" s="125"/>
      <c r="F317" s="125"/>
      <c r="G317" s="127"/>
      <c r="H317" s="125"/>
      <c r="I317" s="125"/>
      <c r="J317" s="124"/>
      <c r="K317" s="108"/>
      <c r="L317" s="108"/>
      <c r="M317" s="108"/>
      <c r="N317" s="108"/>
      <c r="O317" s="111"/>
      <c r="P317" s="111"/>
      <c r="Q317" s="111"/>
      <c r="R317" s="111"/>
      <c r="S317" s="111"/>
      <c r="T317" s="111"/>
      <c r="U317" s="111"/>
    </row>
    <row r="318" spans="2:21">
      <c r="B318" s="115"/>
      <c r="C318" s="114"/>
      <c r="D318" s="119" t="s">
        <v>279</v>
      </c>
      <c r="E318" s="125"/>
      <c r="F318" s="125"/>
      <c r="G318" s="127"/>
      <c r="H318" s="125"/>
      <c r="I318" s="125"/>
      <c r="J318" s="124"/>
      <c r="K318" s="108"/>
      <c r="L318" s="108"/>
      <c r="M318" s="108"/>
      <c r="N318" s="108"/>
      <c r="O318" s="111"/>
      <c r="P318" s="111"/>
      <c r="Q318" s="111"/>
      <c r="R318" s="111"/>
      <c r="S318" s="111"/>
      <c r="T318" s="111"/>
      <c r="U318" s="111"/>
    </row>
    <row r="319" spans="2:21">
      <c r="B319" s="115"/>
      <c r="C319" s="114"/>
      <c r="D319" s="119"/>
      <c r="E319" s="125"/>
      <c r="F319" s="125"/>
      <c r="G319" s="127"/>
      <c r="H319" s="125"/>
      <c r="I319" s="125"/>
      <c r="J319" s="124"/>
      <c r="K319" s="108"/>
      <c r="L319" s="108"/>
      <c r="M319" s="108"/>
      <c r="N319" s="108"/>
      <c r="O319" s="111"/>
      <c r="P319" s="111"/>
      <c r="Q319" s="111"/>
      <c r="R319" s="111"/>
      <c r="S319" s="111"/>
      <c r="T319" s="111"/>
      <c r="U319" s="111"/>
    </row>
    <row r="320" spans="2:21">
      <c r="B320" s="115" t="s">
        <v>278</v>
      </c>
      <c r="C320" s="114"/>
      <c r="D320" s="119" t="s">
        <v>277</v>
      </c>
      <c r="E320" s="120"/>
      <c r="F320" s="120"/>
      <c r="G320" s="120"/>
      <c r="H320" s="120"/>
      <c r="I320" s="120"/>
      <c r="J320" s="126"/>
      <c r="K320" s="108"/>
      <c r="L320" s="108"/>
      <c r="M320" s="108"/>
      <c r="N320" s="108"/>
      <c r="O320" s="111"/>
      <c r="P320" s="111"/>
      <c r="Q320" s="111"/>
      <c r="R320" s="111"/>
      <c r="S320" s="111"/>
      <c r="T320" s="111"/>
      <c r="U320" s="111"/>
    </row>
    <row r="321" spans="2:21">
      <c r="B321" s="104"/>
      <c r="D321" s="119"/>
      <c r="E321" s="120"/>
      <c r="F321" s="120"/>
      <c r="G321" s="120"/>
      <c r="H321" s="120"/>
      <c r="I321" s="120"/>
      <c r="J321" s="126"/>
      <c r="K321" s="108"/>
      <c r="L321" s="108"/>
      <c r="M321" s="108"/>
      <c r="N321" s="108"/>
      <c r="O321" s="111"/>
      <c r="P321" s="111"/>
      <c r="Q321" s="111"/>
      <c r="R321" s="111"/>
      <c r="S321" s="111"/>
      <c r="T321" s="111"/>
      <c r="U321" s="111"/>
    </row>
    <row r="322" spans="2:21">
      <c r="B322" s="115" t="s">
        <v>276</v>
      </c>
      <c r="C322" s="114"/>
      <c r="D322" s="119" t="s">
        <v>275</v>
      </c>
      <c r="E322" s="120"/>
      <c r="F322" s="120"/>
      <c r="G322" s="120"/>
      <c r="H322" s="120"/>
      <c r="I322" s="120"/>
      <c r="J322" s="126"/>
      <c r="K322" s="108"/>
      <c r="L322" s="108"/>
      <c r="M322" s="108"/>
      <c r="N322" s="108"/>
      <c r="O322" s="111"/>
      <c r="P322" s="111"/>
      <c r="Q322" s="111"/>
      <c r="R322" s="111"/>
      <c r="S322" s="111"/>
      <c r="T322" s="111"/>
      <c r="U322" s="111"/>
    </row>
    <row r="323" spans="2:21">
      <c r="B323" s="115"/>
      <c r="C323" s="114"/>
      <c r="D323" s="119"/>
      <c r="E323" s="125"/>
      <c r="F323" s="125"/>
      <c r="G323" s="125"/>
      <c r="H323" s="125"/>
      <c r="I323" s="125"/>
      <c r="J323" s="124"/>
      <c r="K323" s="108"/>
      <c r="L323" s="108"/>
      <c r="M323" s="108"/>
      <c r="N323" s="108"/>
      <c r="O323" s="111"/>
      <c r="P323" s="111"/>
      <c r="Q323" s="111"/>
      <c r="R323" s="111"/>
      <c r="S323" s="111"/>
      <c r="T323" s="111"/>
      <c r="U323" s="111"/>
    </row>
    <row r="324" spans="2:21">
      <c r="B324" s="115" t="s">
        <v>274</v>
      </c>
      <c r="C324" s="114"/>
      <c r="D324" s="119" t="s">
        <v>273</v>
      </c>
      <c r="E324" s="125"/>
      <c r="F324" s="125"/>
      <c r="G324" s="125"/>
      <c r="H324" s="125"/>
      <c r="I324" s="125"/>
      <c r="J324" s="124"/>
      <c r="K324" s="108"/>
      <c r="L324" s="108"/>
      <c r="M324" s="108"/>
      <c r="N324" s="108"/>
      <c r="O324" s="111"/>
      <c r="P324" s="111"/>
      <c r="Q324" s="111"/>
      <c r="R324" s="111"/>
      <c r="S324" s="111"/>
      <c r="T324" s="111"/>
      <c r="U324" s="111"/>
    </row>
    <row r="325" spans="2:21">
      <c r="B325" s="115"/>
      <c r="C325" s="114"/>
      <c r="D325" s="119"/>
      <c r="E325" s="125"/>
      <c r="F325" s="125"/>
      <c r="G325" s="125"/>
      <c r="H325" s="125"/>
      <c r="I325" s="125"/>
      <c r="J325" s="124"/>
      <c r="K325" s="108"/>
      <c r="L325" s="108"/>
      <c r="M325" s="108"/>
      <c r="N325" s="108"/>
      <c r="O325" s="111"/>
      <c r="P325" s="111"/>
      <c r="Q325" s="111"/>
      <c r="R325" s="111"/>
      <c r="S325" s="111"/>
      <c r="T325" s="111"/>
      <c r="U325" s="111"/>
    </row>
    <row r="326" spans="2:21">
      <c r="B326" s="123" t="s">
        <v>272</v>
      </c>
      <c r="C326" s="122"/>
      <c r="D326" s="478" t="str">
        <f>"The Capital Structure of "&amp;F7&amp;" will be based on the Capital Structure of PSO until "&amp;F7&amp;" establishes a stand alond capital structure computed on Worksheet M for the Projected TCOS or Worksheet N for the True-up TCOS."</f>
        <v>The Capital Structure of AEP OKLAHOMA TRANSMISSION COMPANY, INC will be based on the Capital Structure of PSO until AEP OKLAHOMA TRANSMISSION COMPANY, INC establishes a stand alond capital structure computed on Worksheet M for the Projected TCOS or Worksheet N for the True-up TCOS.</v>
      </c>
      <c r="E326" s="478"/>
      <c r="F326" s="478"/>
      <c r="G326" s="478"/>
      <c r="H326" s="478"/>
      <c r="I326" s="478"/>
      <c r="J326" s="478"/>
      <c r="K326" s="478"/>
      <c r="L326" s="478"/>
      <c r="M326" s="108"/>
      <c r="N326" s="108"/>
      <c r="O326" s="111"/>
      <c r="P326" s="111"/>
      <c r="Q326" s="111"/>
      <c r="R326" s="111"/>
      <c r="S326" s="111"/>
      <c r="T326" s="111"/>
      <c r="U326" s="111"/>
    </row>
    <row r="327" spans="2:21">
      <c r="B327" s="121"/>
      <c r="C327" s="120"/>
      <c r="D327" s="478"/>
      <c r="E327" s="478"/>
      <c r="F327" s="478"/>
      <c r="G327" s="478"/>
      <c r="H327" s="478"/>
      <c r="I327" s="478"/>
      <c r="J327" s="478"/>
      <c r="K327" s="478"/>
      <c r="L327" s="478"/>
      <c r="M327" s="108"/>
      <c r="N327" s="108"/>
      <c r="O327" s="111"/>
      <c r="P327" s="111"/>
      <c r="Q327" s="111"/>
      <c r="R327" s="111"/>
      <c r="S327" s="111"/>
      <c r="T327" s="111"/>
      <c r="U327" s="111"/>
    </row>
    <row r="328" spans="2:21" ht="15" customHeight="1">
      <c r="B328" s="121"/>
      <c r="C328" s="120"/>
      <c r="D328" s="119" t="str">
        <f>"Long Term Debt cost rate = long-term interest (ln "&amp;B234&amp;") / long term debt (ln "&amp;B244&amp;").  Preferred Stock cost rate = preferred dividends (ln "&amp;B235&amp;") / preferred outstanding (ln "&amp;B245&amp;")."</f>
        <v>Long Term Debt cost rate = long-term interest (ln 139) / long term debt (ln 148).  Preferred Stock cost rate = preferred dividends (ln 140) / preferred outstanding (ln 149).</v>
      </c>
      <c r="M328" s="108"/>
      <c r="N328" s="108"/>
      <c r="O328" s="111"/>
      <c r="P328" s="111"/>
      <c r="Q328" s="111"/>
      <c r="R328" s="111"/>
      <c r="S328" s="111"/>
      <c r="T328" s="111"/>
      <c r="U328" s="111"/>
    </row>
    <row r="329" spans="2:21">
      <c r="B329" s="121"/>
      <c r="C329" s="120"/>
      <c r="D329" s="119" t="str">
        <f>"Common Stock cost rate (ROE) = "&amp;J246*100&amp;"%, the rate accepted by FERC in Docket Nos. ER07-1069 and ER10-355.  It includes an additional 50 basis points for remaining a member of the SPP RTO."</f>
        <v>Common Stock cost rate (ROE) = 11.2%, the rate accepted by FERC in Docket Nos. ER07-1069 and ER10-355.  It includes an additional 50 basis points for remaining a member of the SPP RTO.</v>
      </c>
      <c r="M329" s="108"/>
      <c r="N329" s="108"/>
      <c r="O329" s="111"/>
      <c r="P329" s="111"/>
      <c r="Q329" s="111"/>
      <c r="R329" s="111"/>
      <c r="S329" s="111"/>
      <c r="T329" s="111"/>
      <c r="U329" s="111"/>
    </row>
    <row r="330" spans="2:21">
      <c r="B330" s="121"/>
      <c r="C330" s="120"/>
      <c r="D330" s="119"/>
      <c r="J330" s="118"/>
      <c r="M330" s="108"/>
      <c r="N330" s="108"/>
      <c r="O330" s="111"/>
      <c r="P330" s="111"/>
      <c r="Q330" s="111"/>
      <c r="R330" s="111"/>
      <c r="S330" s="111"/>
      <c r="T330" s="111"/>
      <c r="U330" s="111"/>
    </row>
    <row r="331" spans="2:21" ht="15" customHeight="1">
      <c r="B331" s="117" t="s">
        <v>271</v>
      </c>
      <c r="C331" s="114"/>
      <c r="D331" s="473" t="str">
        <f>"Per Settlement, equity is limited to "&amp;E230*100&amp;"% of "&amp;F7&amp;"'s Capital Structure.  If the percentage of equity exceeds the cap, the excess is included in long term debt in the cap structure. This value can only change via an approved 205 or 206 filing. "</f>
        <v xml:space="preserve">Per Settlement, equity is limited to 50% of AEP OKLAHOMA TRANSMISSION COMPANY, INC's Capital Structure.  If the percentage of equity exceeds the cap, the excess is included in long term debt in the cap structure. This value can only change via an approved 205 or 206 filing. </v>
      </c>
      <c r="E331" s="474"/>
      <c r="F331" s="474"/>
      <c r="G331" s="474"/>
      <c r="H331" s="474"/>
      <c r="I331" s="474"/>
      <c r="J331" s="474"/>
      <c r="K331" s="474"/>
      <c r="L331" s="474"/>
      <c r="M331" s="108"/>
      <c r="N331" s="108"/>
      <c r="O331" s="111"/>
      <c r="P331" s="111"/>
      <c r="Q331" s="111"/>
      <c r="R331" s="111"/>
      <c r="S331" s="111"/>
      <c r="T331" s="111"/>
      <c r="U331" s="111"/>
    </row>
    <row r="332" spans="2:21">
      <c r="B332" s="115"/>
      <c r="C332" s="114"/>
      <c r="D332" s="474"/>
      <c r="E332" s="474"/>
      <c r="F332" s="474"/>
      <c r="G332" s="474"/>
      <c r="H332" s="474"/>
      <c r="I332" s="474"/>
      <c r="J332" s="474"/>
      <c r="K332" s="474"/>
      <c r="L332" s="474"/>
      <c r="M332" s="108"/>
      <c r="N332" s="108"/>
      <c r="O332" s="111"/>
      <c r="P332" s="111"/>
      <c r="Q332" s="111"/>
      <c r="R332" s="111"/>
      <c r="S332" s="111"/>
      <c r="T332" s="111"/>
      <c r="U332" s="111"/>
    </row>
    <row r="333" spans="2:21">
      <c r="B333" s="115"/>
      <c r="C333" s="114"/>
      <c r="M333" s="108"/>
      <c r="N333" s="108"/>
      <c r="O333" s="111"/>
      <c r="P333" s="111"/>
      <c r="Q333" s="111"/>
      <c r="R333" s="111"/>
      <c r="S333" s="111"/>
      <c r="T333" s="111"/>
      <c r="U333" s="111"/>
    </row>
    <row r="334" spans="2:21">
      <c r="B334" s="115"/>
      <c r="C334" s="114"/>
      <c r="M334" s="108"/>
      <c r="N334" s="108"/>
      <c r="O334" s="111"/>
      <c r="P334" s="111"/>
      <c r="Q334" s="111"/>
      <c r="R334" s="111"/>
      <c r="S334" s="111"/>
      <c r="T334" s="111"/>
      <c r="U334" s="111"/>
    </row>
    <row r="335" spans="2:21">
      <c r="B335" s="115"/>
      <c r="C335" s="114"/>
      <c r="M335" s="108"/>
      <c r="N335" s="108"/>
      <c r="O335" s="111"/>
      <c r="P335" s="111"/>
      <c r="Q335" s="111"/>
      <c r="R335" s="111"/>
      <c r="S335" s="111"/>
      <c r="T335" s="111"/>
      <c r="U335" s="111"/>
    </row>
    <row r="336" spans="2:21">
      <c r="B336" s="116"/>
      <c r="C336" s="116"/>
      <c r="D336" s="116"/>
      <c r="E336" s="116"/>
      <c r="F336" s="116"/>
      <c r="G336" s="116"/>
      <c r="H336" s="116"/>
      <c r="M336" s="108"/>
      <c r="N336" s="108"/>
      <c r="O336" s="111"/>
      <c r="P336" s="111"/>
      <c r="Q336" s="111"/>
      <c r="R336" s="111"/>
      <c r="S336" s="111"/>
      <c r="T336" s="111"/>
      <c r="U336" s="111"/>
    </row>
    <row r="337" spans="2:21">
      <c r="B337" s="108"/>
      <c r="C337" s="108"/>
      <c r="D337" s="108"/>
      <c r="E337" s="108"/>
      <c r="F337" s="108"/>
      <c r="G337" s="108"/>
      <c r="H337" s="108"/>
      <c r="M337" s="108"/>
      <c r="N337" s="108"/>
      <c r="O337" s="111"/>
      <c r="P337" s="111"/>
      <c r="Q337" s="111"/>
      <c r="R337" s="111"/>
      <c r="S337" s="111"/>
      <c r="T337" s="111"/>
      <c r="U337" s="111"/>
    </row>
    <row r="338" spans="2:21">
      <c r="B338" s="108"/>
      <c r="C338" s="108"/>
      <c r="M338" s="108"/>
      <c r="N338" s="108"/>
      <c r="O338" s="111"/>
      <c r="P338" s="111"/>
      <c r="Q338" s="111"/>
      <c r="R338" s="111"/>
      <c r="S338" s="111"/>
      <c r="T338" s="111"/>
      <c r="U338" s="111"/>
    </row>
    <row r="339" spans="2:21">
      <c r="B339" s="108"/>
      <c r="C339" s="108"/>
      <c r="M339" s="108"/>
      <c r="N339" s="108"/>
      <c r="O339" s="111"/>
      <c r="P339" s="111"/>
      <c r="Q339" s="111"/>
      <c r="R339" s="111"/>
      <c r="S339" s="111"/>
      <c r="T339" s="111"/>
      <c r="U339" s="111"/>
    </row>
    <row r="340" spans="2:21">
      <c r="B340" s="108"/>
      <c r="C340" s="108"/>
      <c r="D340" s="108"/>
      <c r="E340" s="108"/>
      <c r="F340" s="108"/>
      <c r="G340" s="108"/>
      <c r="H340" s="108"/>
      <c r="M340" s="108"/>
      <c r="N340" s="108"/>
      <c r="O340" s="111"/>
      <c r="P340" s="111"/>
      <c r="Q340" s="111"/>
      <c r="R340" s="111"/>
      <c r="S340" s="111"/>
      <c r="T340" s="111"/>
      <c r="U340" s="111"/>
    </row>
    <row r="341" spans="2:21">
      <c r="B341" s="108"/>
      <c r="C341" s="108"/>
      <c r="D341" s="108"/>
      <c r="E341" s="108"/>
      <c r="F341" s="108"/>
      <c r="G341" s="108"/>
      <c r="H341" s="108"/>
      <c r="M341" s="108"/>
      <c r="N341" s="108"/>
      <c r="O341" s="111"/>
      <c r="P341" s="111"/>
      <c r="Q341" s="111"/>
      <c r="R341" s="111"/>
      <c r="S341" s="111"/>
      <c r="T341" s="111"/>
      <c r="U341" s="111"/>
    </row>
    <row r="342" spans="2:21">
      <c r="B342" s="108"/>
      <c r="C342" s="108"/>
      <c r="D342" s="108"/>
      <c r="E342" s="108"/>
      <c r="F342" s="108"/>
      <c r="G342" s="108"/>
      <c r="H342" s="108"/>
      <c r="M342" s="108"/>
      <c r="N342" s="108"/>
      <c r="O342" s="111"/>
      <c r="P342" s="111"/>
      <c r="Q342" s="111"/>
      <c r="R342" s="111"/>
      <c r="S342" s="111"/>
      <c r="T342" s="111"/>
      <c r="U342" s="111"/>
    </row>
    <row r="343" spans="2:21">
      <c r="B343" s="108"/>
      <c r="C343" s="108"/>
      <c r="D343" s="108"/>
      <c r="E343" s="108"/>
      <c r="F343" s="108"/>
      <c r="G343" s="108"/>
      <c r="H343" s="108"/>
      <c r="M343" s="108"/>
      <c r="N343" s="108"/>
      <c r="O343" s="111"/>
      <c r="P343" s="111"/>
      <c r="Q343" s="111"/>
      <c r="R343" s="111"/>
      <c r="S343" s="111"/>
      <c r="T343" s="111"/>
      <c r="U343" s="111"/>
    </row>
    <row r="344" spans="2:21">
      <c r="B344" s="108"/>
      <c r="C344" s="108"/>
      <c r="D344" s="108"/>
      <c r="E344" s="108"/>
      <c r="F344" s="108"/>
      <c r="G344" s="108"/>
      <c r="H344" s="108"/>
      <c r="M344" s="108"/>
      <c r="N344" s="108"/>
      <c r="O344" s="111"/>
      <c r="P344" s="111"/>
      <c r="Q344" s="111"/>
      <c r="R344" s="111"/>
      <c r="S344" s="111"/>
      <c r="T344" s="111"/>
      <c r="U344" s="111"/>
    </row>
    <row r="345" spans="2:21">
      <c r="B345" s="108"/>
      <c r="C345" s="108"/>
      <c r="D345" s="108"/>
      <c r="E345" s="108"/>
      <c r="F345" s="108"/>
      <c r="G345" s="108"/>
      <c r="H345" s="108"/>
      <c r="M345" s="108"/>
      <c r="N345" s="108"/>
      <c r="O345" s="111"/>
      <c r="P345" s="111"/>
      <c r="Q345" s="111"/>
      <c r="R345" s="111"/>
      <c r="S345" s="111"/>
      <c r="T345" s="111"/>
      <c r="U345" s="111"/>
    </row>
    <row r="346" spans="2:21">
      <c r="B346" s="108"/>
      <c r="C346" s="108"/>
      <c r="D346" s="108"/>
      <c r="E346" s="108"/>
      <c r="F346" s="108"/>
      <c r="G346" s="108"/>
      <c r="H346" s="108"/>
      <c r="M346" s="108"/>
      <c r="N346" s="108"/>
      <c r="O346" s="111"/>
      <c r="P346" s="111"/>
      <c r="Q346" s="111"/>
      <c r="R346" s="111"/>
      <c r="S346" s="111"/>
      <c r="T346" s="111"/>
      <c r="U346" s="111"/>
    </row>
    <row r="347" spans="2:21">
      <c r="B347" s="115"/>
      <c r="C347" s="114"/>
      <c r="M347" s="108"/>
      <c r="N347" s="108"/>
      <c r="O347" s="111"/>
      <c r="P347" s="111"/>
      <c r="Q347" s="111"/>
      <c r="R347" s="111"/>
      <c r="S347" s="111"/>
      <c r="T347" s="111"/>
      <c r="U347" s="111"/>
    </row>
    <row r="348" spans="2:21">
      <c r="B348" s="104"/>
      <c r="M348" s="108"/>
      <c r="N348" s="108"/>
      <c r="O348" s="111"/>
      <c r="P348" s="111"/>
      <c r="Q348" s="111"/>
      <c r="R348" s="111"/>
      <c r="S348" s="111"/>
      <c r="T348" s="111"/>
      <c r="U348" s="111"/>
    </row>
    <row r="349" spans="2:21">
      <c r="B349" s="104"/>
      <c r="M349" s="108"/>
      <c r="N349" s="108"/>
      <c r="O349" s="111"/>
      <c r="P349" s="111"/>
      <c r="Q349" s="111"/>
      <c r="R349" s="111"/>
      <c r="S349" s="111"/>
      <c r="T349" s="111"/>
      <c r="U349" s="111"/>
    </row>
    <row r="350" spans="2:21">
      <c r="B350" s="104"/>
      <c r="M350" s="108"/>
      <c r="N350" s="108"/>
      <c r="O350" s="111"/>
      <c r="P350" s="111"/>
      <c r="Q350" s="111"/>
      <c r="R350" s="111"/>
      <c r="S350" s="111"/>
      <c r="T350" s="111"/>
      <c r="U350" s="111"/>
    </row>
    <row r="351" spans="2:21">
      <c r="B351" s="104"/>
      <c r="H351" s="111"/>
      <c r="I351" s="111"/>
      <c r="J351" s="111"/>
      <c r="K351" s="111"/>
      <c r="L351" s="111"/>
      <c r="M351" s="108"/>
      <c r="N351" s="108"/>
      <c r="O351" s="111"/>
      <c r="P351" s="111"/>
      <c r="Q351" s="111"/>
      <c r="R351" s="111"/>
      <c r="S351" s="111"/>
      <c r="T351" s="111"/>
      <c r="U351" s="111"/>
    </row>
    <row r="352" spans="2:21">
      <c r="B352" s="104"/>
      <c r="H352" s="111"/>
      <c r="K352" s="111"/>
      <c r="L352" s="111"/>
      <c r="M352" s="108"/>
      <c r="N352" s="108"/>
      <c r="O352" s="111"/>
      <c r="P352" s="111"/>
      <c r="Q352" s="111"/>
      <c r="R352" s="111"/>
      <c r="S352" s="111"/>
      <c r="T352" s="111"/>
      <c r="U352" s="111"/>
    </row>
    <row r="353" spans="2:21">
      <c r="B353" s="104"/>
      <c r="H353" s="111"/>
      <c r="I353" s="111" t="s">
        <v>270</v>
      </c>
      <c r="J353" s="109"/>
      <c r="K353" s="111"/>
      <c r="L353" s="111"/>
      <c r="M353" s="108"/>
      <c r="N353" s="108"/>
      <c r="O353" s="111"/>
      <c r="P353" s="111"/>
      <c r="Q353" s="111"/>
      <c r="R353" s="111"/>
      <c r="S353" s="111"/>
      <c r="T353" s="111"/>
      <c r="U353" s="111"/>
    </row>
    <row r="354" spans="2:21">
      <c r="B354" s="104"/>
      <c r="H354" s="111"/>
      <c r="I354" s="110" t="s">
        <v>269</v>
      </c>
      <c r="J354" s="109">
        <v>1</v>
      </c>
      <c r="K354" s="111"/>
      <c r="L354" s="111"/>
      <c r="M354" s="108"/>
      <c r="N354" s="108"/>
      <c r="O354" s="111"/>
      <c r="P354" s="111"/>
      <c r="Q354" s="111"/>
      <c r="R354" s="111"/>
      <c r="S354" s="111"/>
      <c r="T354" s="111"/>
      <c r="U354" s="111"/>
    </row>
    <row r="355" spans="2:21">
      <c r="B355" s="104"/>
      <c r="H355" s="111"/>
      <c r="I355" s="110" t="s">
        <v>268</v>
      </c>
      <c r="J355" s="109">
        <f>+$J$63</f>
        <v>0.94247785190223821</v>
      </c>
      <c r="K355" s="111"/>
      <c r="L355" s="111"/>
      <c r="M355" s="108"/>
      <c r="N355" s="108"/>
      <c r="O355" s="111"/>
      <c r="P355" s="111"/>
      <c r="Q355" s="111"/>
      <c r="R355" s="111"/>
      <c r="S355" s="111"/>
      <c r="T355" s="111"/>
      <c r="U355" s="111"/>
    </row>
    <row r="356" spans="2:21">
      <c r="B356" s="104"/>
      <c r="H356" s="111"/>
      <c r="I356" s="110" t="s">
        <v>267</v>
      </c>
      <c r="J356" s="109">
        <f>'OKT 2016 True-Up TCOS'!$J$64</f>
        <v>1</v>
      </c>
      <c r="K356" s="111"/>
      <c r="L356" s="111"/>
      <c r="M356" s="108"/>
      <c r="N356" s="108"/>
      <c r="O356" s="111"/>
      <c r="P356" s="111"/>
      <c r="Q356" s="111"/>
      <c r="R356" s="111"/>
      <c r="S356" s="111"/>
      <c r="T356" s="111"/>
      <c r="U356" s="111"/>
    </row>
    <row r="357" spans="2:21">
      <c r="B357" s="112"/>
      <c r="C357" s="111"/>
      <c r="D357" s="111"/>
      <c r="E357" s="111"/>
      <c r="F357" s="111"/>
      <c r="G357" s="111"/>
      <c r="H357" s="111"/>
      <c r="I357" s="110" t="s">
        <v>266</v>
      </c>
      <c r="J357" s="113">
        <v>0</v>
      </c>
      <c r="K357" s="111"/>
      <c r="L357" s="111"/>
      <c r="M357" s="108"/>
      <c r="N357" s="108"/>
      <c r="O357" s="111"/>
      <c r="P357" s="111"/>
      <c r="Q357" s="111"/>
      <c r="R357" s="111"/>
      <c r="S357" s="111"/>
      <c r="T357" s="111"/>
      <c r="U357" s="111"/>
    </row>
    <row r="358" spans="2:21">
      <c r="B358" s="112"/>
      <c r="C358" s="111"/>
      <c r="D358" s="111"/>
      <c r="E358" s="111"/>
      <c r="F358" s="111"/>
      <c r="G358" s="111"/>
      <c r="H358" s="111"/>
      <c r="I358" s="110" t="s">
        <v>265</v>
      </c>
      <c r="J358" s="109">
        <f>$J$83</f>
        <v>0.94010836363971439</v>
      </c>
      <c r="K358" s="111"/>
      <c r="L358" s="111"/>
      <c r="M358" s="108"/>
      <c r="N358" s="108"/>
      <c r="O358" s="111"/>
      <c r="P358" s="111"/>
      <c r="Q358" s="111"/>
      <c r="R358" s="111"/>
      <c r="S358" s="111"/>
      <c r="T358" s="111"/>
      <c r="U358" s="111"/>
    </row>
    <row r="359" spans="2:21">
      <c r="B359" s="112"/>
      <c r="C359" s="111"/>
      <c r="D359" s="111"/>
      <c r="E359" s="111"/>
      <c r="F359" s="111"/>
      <c r="G359" s="111"/>
      <c r="H359" s="111"/>
      <c r="I359" s="110" t="s">
        <v>264</v>
      </c>
      <c r="J359" s="109">
        <f>$L$201</f>
        <v>0.94247785190223832</v>
      </c>
      <c r="K359" s="111"/>
      <c r="L359" s="111"/>
      <c r="M359" s="108"/>
      <c r="N359" s="108"/>
      <c r="O359" s="111"/>
      <c r="P359" s="111"/>
      <c r="Q359" s="111"/>
      <c r="R359" s="111"/>
      <c r="S359" s="111"/>
      <c r="T359" s="111"/>
      <c r="U359" s="111"/>
    </row>
    <row r="360" spans="2:21">
      <c r="B360" s="107"/>
      <c r="C360" s="105"/>
      <c r="D360" s="105"/>
      <c r="E360" s="105"/>
      <c r="F360" s="105"/>
      <c r="G360" s="105"/>
      <c r="H360" s="105"/>
      <c r="I360" s="110" t="s">
        <v>263</v>
      </c>
      <c r="J360" s="109">
        <f>$J$68</f>
        <v>1</v>
      </c>
      <c r="K360" s="105"/>
      <c r="L360" s="105"/>
      <c r="M360" s="108"/>
      <c r="N360" s="108"/>
    </row>
    <row r="361" spans="2:21">
      <c r="B361" s="107"/>
      <c r="C361" s="105"/>
      <c r="D361" s="105"/>
      <c r="E361" s="105"/>
      <c r="F361" s="105"/>
      <c r="G361" s="105"/>
      <c r="H361" s="105"/>
      <c r="I361" s="110" t="s">
        <v>262</v>
      </c>
      <c r="J361" s="109">
        <f>$L$211</f>
        <v>0.94247785190223832</v>
      </c>
      <c r="K361" s="105"/>
      <c r="L361" s="105"/>
      <c r="M361" s="108"/>
      <c r="N361" s="108"/>
    </row>
    <row r="362" spans="2:21">
      <c r="B362" s="107"/>
      <c r="C362" s="105"/>
      <c r="D362" s="105"/>
      <c r="E362" s="105"/>
      <c r="F362" s="105"/>
      <c r="G362" s="105"/>
      <c r="H362" s="105"/>
      <c r="I362" s="105"/>
      <c r="J362" s="105"/>
      <c r="K362" s="105"/>
      <c r="L362" s="105"/>
      <c r="M362" s="108"/>
      <c r="N362" s="108"/>
    </row>
    <row r="363" spans="2:21">
      <c r="B363" s="107"/>
      <c r="C363" s="105"/>
      <c r="D363" s="105"/>
      <c r="E363" s="105"/>
      <c r="F363" s="105"/>
      <c r="G363" s="105"/>
      <c r="H363" s="105"/>
      <c r="I363" s="105"/>
      <c r="J363" s="105"/>
      <c r="K363" s="105"/>
      <c r="L363" s="105"/>
      <c r="M363" s="108"/>
      <c r="N363" s="108"/>
    </row>
    <row r="364" spans="2:21">
      <c r="B364" s="107"/>
      <c r="C364" s="105"/>
      <c r="D364" s="105"/>
      <c r="E364" s="105"/>
      <c r="F364" s="105"/>
      <c r="G364" s="105"/>
      <c r="H364" s="105"/>
      <c r="I364" s="105"/>
      <c r="J364" s="105"/>
      <c r="K364" s="105"/>
      <c r="L364" s="105"/>
      <c r="M364" s="108"/>
      <c r="N364" s="108"/>
    </row>
    <row r="365" spans="2:21">
      <c r="B365" s="107"/>
      <c r="C365" s="105"/>
      <c r="D365" s="105"/>
      <c r="E365" s="105"/>
      <c r="F365" s="105"/>
      <c r="G365" s="105"/>
      <c r="H365" s="105"/>
      <c r="I365" s="105"/>
      <c r="J365" s="105"/>
      <c r="K365" s="105"/>
      <c r="L365" s="105"/>
      <c r="M365" s="108"/>
      <c r="N365" s="108"/>
    </row>
    <row r="366" spans="2:21">
      <c r="B366" s="107"/>
      <c r="C366" s="105"/>
      <c r="D366" s="105"/>
      <c r="E366" s="105"/>
      <c r="F366" s="105"/>
      <c r="G366" s="105"/>
      <c r="H366" s="105"/>
      <c r="I366" s="105"/>
      <c r="J366" s="105"/>
      <c r="K366" s="105"/>
      <c r="L366" s="105"/>
      <c r="M366" s="108"/>
      <c r="N366" s="108"/>
    </row>
    <row r="367" spans="2:21">
      <c r="B367" s="107"/>
      <c r="C367" s="105"/>
      <c r="D367" s="105"/>
      <c r="E367" s="105"/>
      <c r="F367" s="105"/>
      <c r="G367" s="105"/>
      <c r="H367" s="105"/>
      <c r="I367" s="105"/>
      <c r="J367" s="105"/>
      <c r="K367" s="105"/>
      <c r="L367" s="105"/>
      <c r="M367" s="108"/>
      <c r="N367" s="108"/>
    </row>
    <row r="368" spans="2:21">
      <c r="B368" s="107"/>
      <c r="C368" s="105"/>
      <c r="D368" s="105"/>
      <c r="E368" s="105"/>
      <c r="F368" s="105"/>
      <c r="G368" s="105"/>
      <c r="H368" s="105"/>
      <c r="I368" s="105"/>
      <c r="J368" s="105"/>
      <c r="K368" s="105"/>
      <c r="L368" s="105"/>
      <c r="M368" s="108"/>
      <c r="N368" s="108"/>
    </row>
    <row r="369" spans="2:14">
      <c r="B369" s="107"/>
      <c r="C369" s="105"/>
      <c r="D369" s="105"/>
      <c r="E369" s="105"/>
      <c r="F369" s="105"/>
      <c r="G369" s="105"/>
      <c r="H369" s="105"/>
      <c r="I369" s="105"/>
      <c r="J369" s="105"/>
      <c r="K369" s="105"/>
      <c r="L369" s="105"/>
      <c r="M369" s="108"/>
      <c r="N369" s="108"/>
    </row>
    <row r="370" spans="2:14">
      <c r="B370" s="107"/>
      <c r="C370" s="105"/>
      <c r="D370" s="105"/>
      <c r="E370" s="105"/>
      <c r="F370" s="105"/>
      <c r="G370" s="105"/>
      <c r="H370" s="105"/>
      <c r="I370" s="105"/>
      <c r="J370" s="105"/>
      <c r="K370" s="105"/>
      <c r="L370" s="105"/>
      <c r="M370" s="108"/>
      <c r="N370" s="108"/>
    </row>
    <row r="371" spans="2:14">
      <c r="B371" s="107"/>
      <c r="C371" s="105"/>
      <c r="D371" s="105"/>
      <c r="E371" s="105"/>
      <c r="F371" s="105"/>
      <c r="G371" s="105"/>
      <c r="H371" s="105"/>
      <c r="I371" s="105"/>
      <c r="J371" s="105"/>
      <c r="K371" s="105"/>
      <c r="L371" s="105"/>
      <c r="M371" s="108"/>
      <c r="N371" s="108"/>
    </row>
    <row r="372" spans="2:14">
      <c r="B372" s="107"/>
      <c r="C372" s="105"/>
      <c r="D372" s="105"/>
      <c r="E372" s="105"/>
      <c r="F372" s="105"/>
      <c r="G372" s="105"/>
      <c r="H372" s="105"/>
      <c r="I372" s="105"/>
      <c r="J372" s="105"/>
      <c r="K372" s="105"/>
      <c r="L372" s="105"/>
      <c r="M372" s="108"/>
      <c r="N372" s="108"/>
    </row>
    <row r="373" spans="2:14">
      <c r="B373" s="107"/>
      <c r="C373" s="105"/>
      <c r="D373" s="105"/>
      <c r="E373" s="105"/>
      <c r="F373" s="105"/>
      <c r="G373" s="105"/>
      <c r="H373" s="105"/>
      <c r="I373" s="105"/>
      <c r="J373" s="105"/>
      <c r="K373" s="105"/>
      <c r="L373" s="105"/>
      <c r="M373" s="108"/>
      <c r="N373" s="108"/>
    </row>
    <row r="374" spans="2:14">
      <c r="B374" s="107"/>
      <c r="C374" s="105"/>
      <c r="D374" s="105"/>
      <c r="E374" s="105"/>
      <c r="F374" s="105"/>
      <c r="G374" s="105"/>
      <c r="H374" s="105"/>
      <c r="I374" s="105"/>
      <c r="J374" s="105"/>
      <c r="K374" s="105"/>
      <c r="L374" s="105"/>
      <c r="M374" s="108"/>
      <c r="N374" s="108"/>
    </row>
    <row r="375" spans="2:14">
      <c r="B375" s="107"/>
      <c r="C375" s="105"/>
      <c r="D375" s="105"/>
      <c r="E375" s="105"/>
      <c r="F375" s="105"/>
      <c r="G375" s="105"/>
      <c r="H375" s="105"/>
      <c r="I375" s="105"/>
      <c r="J375" s="105"/>
      <c r="K375" s="105"/>
      <c r="L375" s="105"/>
      <c r="M375" s="108"/>
      <c r="N375" s="108"/>
    </row>
    <row r="376" spans="2:14">
      <c r="B376" s="107"/>
      <c r="C376" s="105"/>
      <c r="D376" s="105"/>
      <c r="E376" s="105"/>
      <c r="F376" s="105"/>
      <c r="G376" s="105"/>
      <c r="H376" s="105"/>
      <c r="I376" s="105"/>
      <c r="J376" s="105"/>
      <c r="K376" s="105"/>
      <c r="L376" s="105"/>
      <c r="M376" s="108"/>
      <c r="N376" s="108"/>
    </row>
    <row r="377" spans="2:14">
      <c r="B377" s="107"/>
      <c r="C377" s="105"/>
      <c r="D377" s="105"/>
      <c r="E377" s="105"/>
      <c r="F377" s="105"/>
      <c r="G377" s="105"/>
      <c r="H377" s="105"/>
      <c r="I377" s="105"/>
      <c r="J377" s="105"/>
      <c r="K377" s="105"/>
      <c r="L377" s="105"/>
      <c r="M377" s="108"/>
      <c r="N377" s="108"/>
    </row>
    <row r="378" spans="2:14">
      <c r="B378" s="107"/>
      <c r="C378" s="105"/>
      <c r="D378" s="105"/>
      <c r="E378" s="105"/>
      <c r="F378" s="105"/>
      <c r="G378" s="105"/>
      <c r="H378" s="105"/>
      <c r="I378" s="105"/>
      <c r="J378" s="105"/>
      <c r="K378" s="105"/>
      <c r="L378" s="105"/>
      <c r="M378" s="108"/>
      <c r="N378" s="108"/>
    </row>
    <row r="379" spans="2:14">
      <c r="B379" s="107"/>
      <c r="C379" s="105"/>
      <c r="D379" s="105"/>
      <c r="E379" s="105"/>
      <c r="F379" s="105"/>
      <c r="G379" s="105"/>
      <c r="H379" s="105"/>
      <c r="I379" s="105"/>
      <c r="J379" s="105"/>
      <c r="K379" s="105"/>
      <c r="L379" s="105"/>
      <c r="M379" s="108"/>
      <c r="N379" s="108"/>
    </row>
    <row r="380" spans="2:14">
      <c r="B380" s="107"/>
      <c r="C380" s="105"/>
      <c r="D380" s="105"/>
      <c r="E380" s="105"/>
      <c r="F380" s="105"/>
      <c r="G380" s="105"/>
      <c r="H380" s="105"/>
      <c r="I380" s="105"/>
      <c r="J380" s="105"/>
      <c r="K380" s="105"/>
      <c r="L380" s="105"/>
      <c r="M380" s="108"/>
      <c r="N380" s="108"/>
    </row>
    <row r="381" spans="2:14">
      <c r="B381" s="107"/>
      <c r="C381" s="105"/>
      <c r="D381" s="105"/>
      <c r="E381" s="105"/>
      <c r="F381" s="105"/>
      <c r="G381" s="105"/>
      <c r="H381" s="105"/>
      <c r="I381" s="105"/>
      <c r="J381" s="105"/>
      <c r="K381" s="105"/>
      <c r="L381" s="105"/>
      <c r="M381" s="108"/>
      <c r="N381" s="108"/>
    </row>
    <row r="382" spans="2:14">
      <c r="B382" s="107"/>
      <c r="C382" s="105"/>
      <c r="D382" s="105"/>
      <c r="E382" s="105"/>
      <c r="F382" s="105"/>
      <c r="G382" s="105"/>
      <c r="H382" s="105"/>
      <c r="I382" s="105"/>
      <c r="J382" s="105"/>
      <c r="K382" s="105"/>
      <c r="L382" s="105"/>
      <c r="M382" s="108"/>
      <c r="N382" s="108"/>
    </row>
    <row r="383" spans="2:14">
      <c r="B383" s="107"/>
      <c r="C383" s="105"/>
      <c r="D383" s="105"/>
      <c r="E383" s="105"/>
      <c r="F383" s="105"/>
      <c r="G383" s="105"/>
      <c r="H383" s="105"/>
      <c r="I383" s="105"/>
      <c r="J383" s="105"/>
      <c r="K383" s="105"/>
      <c r="L383" s="105"/>
      <c r="M383" s="108"/>
      <c r="N383" s="108"/>
    </row>
    <row r="384" spans="2:14">
      <c r="B384" s="107"/>
      <c r="C384" s="105"/>
      <c r="D384" s="105"/>
      <c r="E384" s="105"/>
      <c r="F384" s="105"/>
      <c r="G384" s="105"/>
      <c r="H384" s="105"/>
      <c r="I384" s="105"/>
      <c r="J384" s="105"/>
      <c r="K384" s="105"/>
      <c r="L384" s="105"/>
      <c r="M384" s="108"/>
      <c r="N384" s="108"/>
    </row>
    <row r="385" spans="2:14">
      <c r="B385" s="107"/>
      <c r="C385" s="105"/>
      <c r="D385" s="105"/>
      <c r="E385" s="105"/>
      <c r="F385" s="105"/>
      <c r="G385" s="105"/>
      <c r="H385" s="105"/>
      <c r="I385" s="105"/>
      <c r="J385" s="105"/>
      <c r="K385" s="105"/>
      <c r="L385" s="105"/>
      <c r="M385" s="108"/>
      <c r="N385" s="108"/>
    </row>
    <row r="386" spans="2:14">
      <c r="B386" s="107"/>
      <c r="C386" s="105"/>
      <c r="D386" s="105"/>
      <c r="E386" s="105"/>
      <c r="F386" s="105"/>
      <c r="G386" s="105"/>
      <c r="H386" s="105"/>
      <c r="I386" s="105"/>
      <c r="J386" s="105"/>
      <c r="K386" s="105"/>
      <c r="L386" s="105"/>
      <c r="M386" s="108"/>
      <c r="N386" s="108"/>
    </row>
    <row r="387" spans="2:14">
      <c r="B387" s="107"/>
      <c r="C387" s="105"/>
      <c r="D387" s="105"/>
      <c r="E387" s="105"/>
      <c r="F387" s="105"/>
      <c r="G387" s="105"/>
      <c r="H387" s="105"/>
      <c r="I387" s="105"/>
      <c r="J387" s="105"/>
      <c r="K387" s="105"/>
      <c r="L387" s="105"/>
      <c r="M387" s="108"/>
      <c r="N387" s="108"/>
    </row>
    <row r="388" spans="2:14">
      <c r="B388" s="107"/>
      <c r="C388" s="105"/>
      <c r="D388" s="105"/>
      <c r="E388" s="105"/>
      <c r="F388" s="105"/>
      <c r="G388" s="105"/>
      <c r="H388" s="105"/>
      <c r="I388" s="105"/>
      <c r="J388" s="105"/>
      <c r="K388" s="105"/>
      <c r="L388" s="105"/>
      <c r="M388" s="108"/>
      <c r="N388" s="108"/>
    </row>
    <row r="389" spans="2:14">
      <c r="B389" s="107"/>
      <c r="C389" s="105"/>
      <c r="D389" s="105"/>
      <c r="E389" s="105"/>
      <c r="F389" s="105"/>
      <c r="G389" s="105"/>
      <c r="H389" s="105"/>
      <c r="I389" s="105"/>
      <c r="J389" s="105"/>
      <c r="K389" s="105"/>
      <c r="L389" s="105"/>
      <c r="M389" s="108"/>
      <c r="N389" s="108"/>
    </row>
    <row r="390" spans="2:14">
      <c r="B390" s="107"/>
      <c r="C390" s="105"/>
      <c r="D390" s="105"/>
      <c r="E390" s="105"/>
      <c r="F390" s="105"/>
      <c r="G390" s="105"/>
      <c r="H390" s="105"/>
      <c r="I390" s="105"/>
      <c r="J390" s="105"/>
      <c r="K390" s="105"/>
      <c r="L390" s="105"/>
      <c r="M390" s="108"/>
      <c r="N390" s="108"/>
    </row>
    <row r="391" spans="2:14">
      <c r="B391" s="107"/>
      <c r="C391" s="105"/>
      <c r="D391" s="105"/>
      <c r="E391" s="105"/>
      <c r="F391" s="105"/>
      <c r="G391" s="105"/>
      <c r="H391" s="105"/>
      <c r="I391" s="105"/>
      <c r="J391" s="105"/>
      <c r="K391" s="105"/>
      <c r="L391" s="105"/>
      <c r="M391" s="108"/>
      <c r="N391" s="108"/>
    </row>
    <row r="392" spans="2:14">
      <c r="B392" s="107"/>
      <c r="C392" s="105"/>
      <c r="D392" s="105"/>
      <c r="E392" s="105"/>
      <c r="F392" s="105"/>
      <c r="G392" s="105"/>
      <c r="H392" s="105"/>
      <c r="I392" s="105"/>
      <c r="J392" s="105"/>
      <c r="K392" s="105"/>
      <c r="L392" s="105"/>
      <c r="M392" s="108"/>
      <c r="N392" s="108"/>
    </row>
    <row r="393" spans="2:14">
      <c r="B393" s="107"/>
      <c r="C393" s="105"/>
      <c r="D393" s="105"/>
      <c r="E393" s="105"/>
      <c r="F393" s="105"/>
      <c r="G393" s="105"/>
      <c r="H393" s="105"/>
      <c r="I393" s="105"/>
      <c r="J393" s="105"/>
      <c r="K393" s="105"/>
      <c r="L393" s="105"/>
      <c r="M393" s="108"/>
      <c r="N393" s="108"/>
    </row>
    <row r="394" spans="2:14">
      <c r="B394" s="107"/>
      <c r="C394" s="105"/>
      <c r="D394" s="105"/>
      <c r="E394" s="105"/>
      <c r="F394" s="105"/>
      <c r="G394" s="105"/>
      <c r="H394" s="105"/>
      <c r="I394" s="105"/>
      <c r="J394" s="105"/>
      <c r="K394" s="105"/>
      <c r="L394" s="105"/>
      <c r="M394" s="108"/>
      <c r="N394" s="108"/>
    </row>
    <row r="395" spans="2:14">
      <c r="B395" s="107"/>
      <c r="C395" s="105"/>
      <c r="D395" s="105"/>
      <c r="E395" s="105"/>
      <c r="F395" s="105"/>
      <c r="G395" s="105"/>
      <c r="H395" s="105"/>
      <c r="I395" s="105"/>
      <c r="J395" s="105"/>
      <c r="K395" s="105"/>
      <c r="L395" s="105"/>
      <c r="M395" s="108"/>
      <c r="N395" s="108"/>
    </row>
    <row r="396" spans="2:14">
      <c r="B396" s="107"/>
      <c r="C396" s="105"/>
      <c r="D396" s="105"/>
      <c r="E396" s="105"/>
      <c r="F396" s="105"/>
      <c r="G396" s="105"/>
      <c r="H396" s="105"/>
      <c r="I396" s="105"/>
      <c r="J396" s="105"/>
      <c r="K396" s="105"/>
      <c r="L396" s="105"/>
      <c r="M396" s="108"/>
      <c r="N396" s="108"/>
    </row>
    <row r="397" spans="2:14">
      <c r="B397" s="107"/>
      <c r="C397" s="105"/>
      <c r="D397" s="105"/>
      <c r="E397" s="105"/>
      <c r="F397" s="105"/>
      <c r="G397" s="105"/>
      <c r="H397" s="105"/>
      <c r="I397" s="105"/>
      <c r="J397" s="105"/>
      <c r="K397" s="105"/>
      <c r="L397" s="105"/>
      <c r="M397" s="108"/>
      <c r="N397" s="108"/>
    </row>
    <row r="398" spans="2:14">
      <c r="B398" s="107"/>
      <c r="C398" s="105"/>
      <c r="D398" s="105"/>
      <c r="E398" s="105"/>
      <c r="F398" s="105"/>
      <c r="G398" s="105"/>
      <c r="H398" s="105"/>
      <c r="I398" s="105"/>
      <c r="J398" s="105"/>
      <c r="K398" s="105"/>
      <c r="L398" s="105"/>
      <c r="M398" s="108"/>
      <c r="N398" s="108"/>
    </row>
    <row r="399" spans="2:14">
      <c r="B399" s="107"/>
      <c r="C399" s="105"/>
      <c r="D399" s="105"/>
      <c r="E399" s="105"/>
      <c r="F399" s="105"/>
      <c r="G399" s="105"/>
      <c r="H399" s="105"/>
      <c r="I399" s="105"/>
      <c r="J399" s="105"/>
      <c r="K399" s="105"/>
      <c r="L399" s="105"/>
      <c r="M399" s="108"/>
      <c r="N399" s="108"/>
    </row>
    <row r="400" spans="2:14">
      <c r="B400" s="107"/>
      <c r="C400" s="105"/>
      <c r="D400" s="105"/>
      <c r="E400" s="105"/>
      <c r="F400" s="105"/>
      <c r="G400" s="105"/>
      <c r="H400" s="105"/>
      <c r="I400" s="105"/>
      <c r="J400" s="105"/>
      <c r="K400" s="105"/>
      <c r="L400" s="105"/>
      <c r="M400" s="108"/>
      <c r="N400" s="108"/>
    </row>
    <row r="401" spans="2:14">
      <c r="B401" s="107"/>
      <c r="C401" s="105"/>
      <c r="D401" s="105"/>
      <c r="E401" s="105"/>
      <c r="F401" s="105"/>
      <c r="G401" s="105"/>
      <c r="H401" s="105"/>
      <c r="I401" s="105"/>
      <c r="J401" s="105"/>
      <c r="K401" s="105"/>
      <c r="L401" s="105"/>
      <c r="M401" s="108"/>
      <c r="N401" s="108"/>
    </row>
    <row r="402" spans="2:14">
      <c r="B402" s="107"/>
      <c r="C402" s="105"/>
      <c r="D402" s="105"/>
      <c r="E402" s="105"/>
      <c r="F402" s="105"/>
      <c r="G402" s="105"/>
      <c r="H402" s="105"/>
      <c r="I402" s="105"/>
      <c r="J402" s="105"/>
      <c r="K402" s="105"/>
      <c r="L402" s="105"/>
      <c r="M402" s="108"/>
      <c r="N402" s="108"/>
    </row>
    <row r="403" spans="2:14">
      <c r="B403" s="107"/>
      <c r="C403" s="105"/>
      <c r="D403" s="105"/>
      <c r="E403" s="105"/>
      <c r="F403" s="105"/>
      <c r="G403" s="105"/>
      <c r="H403" s="105"/>
      <c r="I403" s="105"/>
      <c r="J403" s="105"/>
      <c r="K403" s="105"/>
      <c r="L403" s="105"/>
      <c r="M403" s="108"/>
      <c r="N403" s="108"/>
    </row>
    <row r="404" spans="2:14">
      <c r="B404" s="107"/>
      <c r="C404" s="105"/>
      <c r="D404" s="105"/>
      <c r="E404" s="105"/>
      <c r="F404" s="105"/>
      <c r="G404" s="105"/>
      <c r="H404" s="105"/>
      <c r="I404" s="105"/>
      <c r="J404" s="105"/>
      <c r="K404" s="105"/>
      <c r="L404" s="105"/>
      <c r="M404" s="108"/>
      <c r="N404" s="108"/>
    </row>
    <row r="405" spans="2:14">
      <c r="B405" s="107"/>
      <c r="C405" s="105"/>
      <c r="D405" s="105"/>
      <c r="E405" s="105"/>
      <c r="F405" s="105"/>
      <c r="G405" s="105"/>
      <c r="H405" s="105"/>
      <c r="I405" s="105"/>
      <c r="J405" s="105"/>
      <c r="K405" s="105"/>
      <c r="L405" s="105"/>
      <c r="M405" s="108"/>
      <c r="N405" s="108"/>
    </row>
    <row r="406" spans="2:14">
      <c r="B406" s="107"/>
      <c r="C406" s="105"/>
      <c r="D406" s="105"/>
      <c r="E406" s="105"/>
      <c r="F406" s="105"/>
      <c r="G406" s="105"/>
      <c r="H406" s="105"/>
      <c r="I406" s="105"/>
      <c r="J406" s="105"/>
      <c r="K406" s="105"/>
      <c r="L406" s="105"/>
      <c r="M406" s="108"/>
      <c r="N406" s="108"/>
    </row>
    <row r="407" spans="2:14">
      <c r="B407" s="107"/>
      <c r="C407" s="105"/>
      <c r="D407" s="105"/>
      <c r="E407" s="105"/>
      <c r="F407" s="105"/>
      <c r="G407" s="105"/>
      <c r="H407" s="105"/>
      <c r="I407" s="105"/>
      <c r="J407" s="105"/>
      <c r="K407" s="105"/>
      <c r="L407" s="105"/>
      <c r="M407" s="108"/>
      <c r="N407" s="108"/>
    </row>
    <row r="408" spans="2:14">
      <c r="B408" s="107"/>
      <c r="C408" s="105"/>
      <c r="D408" s="105"/>
      <c r="E408" s="105"/>
      <c r="F408" s="105"/>
      <c r="G408" s="105"/>
      <c r="H408" s="105"/>
      <c r="I408" s="105"/>
      <c r="J408" s="105"/>
      <c r="K408" s="105"/>
      <c r="L408" s="105"/>
      <c r="M408" s="108"/>
      <c r="N408" s="108"/>
    </row>
    <row r="409" spans="2:14">
      <c r="B409" s="107"/>
      <c r="C409" s="105"/>
      <c r="D409" s="105"/>
      <c r="E409" s="105"/>
      <c r="F409" s="105"/>
      <c r="G409" s="105"/>
      <c r="H409" s="105"/>
      <c r="I409" s="105"/>
      <c r="J409" s="105"/>
      <c r="K409" s="105"/>
      <c r="L409" s="105"/>
      <c r="M409" s="108"/>
      <c r="N409" s="108"/>
    </row>
    <row r="410" spans="2:14">
      <c r="B410" s="107"/>
      <c r="C410" s="105"/>
      <c r="D410" s="105"/>
      <c r="E410" s="105"/>
      <c r="F410" s="105"/>
      <c r="G410" s="105"/>
      <c r="H410" s="105"/>
      <c r="I410" s="105"/>
      <c r="J410" s="105"/>
      <c r="K410" s="105"/>
      <c r="L410" s="105"/>
      <c r="M410" s="108"/>
      <c r="N410" s="108"/>
    </row>
    <row r="411" spans="2:14">
      <c r="B411" s="107"/>
      <c r="C411" s="105"/>
      <c r="D411" s="105"/>
      <c r="E411" s="105"/>
      <c r="F411" s="105"/>
      <c r="G411" s="105"/>
      <c r="H411" s="105"/>
      <c r="I411" s="105"/>
      <c r="J411" s="105"/>
      <c r="K411" s="105"/>
      <c r="L411" s="105"/>
      <c r="M411" s="108"/>
      <c r="N411" s="108"/>
    </row>
    <row r="412" spans="2:14">
      <c r="B412" s="107"/>
      <c r="C412" s="105"/>
      <c r="D412" s="105"/>
      <c r="E412" s="105"/>
      <c r="F412" s="105"/>
      <c r="G412" s="105"/>
      <c r="H412" s="105"/>
      <c r="I412" s="105"/>
      <c r="J412" s="105"/>
      <c r="K412" s="105"/>
      <c r="L412" s="105"/>
      <c r="M412" s="108"/>
      <c r="N412" s="108"/>
    </row>
    <row r="413" spans="2:14">
      <c r="B413" s="107"/>
      <c r="C413" s="105"/>
      <c r="D413" s="105"/>
      <c r="E413" s="105"/>
      <c r="F413" s="105"/>
      <c r="G413" s="105"/>
      <c r="H413" s="105"/>
      <c r="I413" s="105"/>
      <c r="J413" s="105"/>
      <c r="K413" s="105"/>
      <c r="L413" s="105"/>
      <c r="M413" s="108"/>
      <c r="N413" s="108"/>
    </row>
    <row r="414" spans="2:14">
      <c r="B414" s="107"/>
      <c r="C414" s="105"/>
      <c r="D414" s="105"/>
      <c r="E414" s="105"/>
      <c r="F414" s="105"/>
      <c r="G414" s="105"/>
      <c r="H414" s="105"/>
      <c r="I414" s="105"/>
      <c r="J414" s="105"/>
      <c r="K414" s="105"/>
      <c r="L414" s="105"/>
      <c r="M414" s="108"/>
      <c r="N414" s="108"/>
    </row>
    <row r="415" spans="2:14">
      <c r="B415" s="107"/>
      <c r="C415" s="105"/>
      <c r="D415" s="105"/>
      <c r="E415" s="105"/>
      <c r="F415" s="105"/>
      <c r="G415" s="105"/>
      <c r="H415" s="105"/>
      <c r="I415" s="105"/>
      <c r="J415" s="105"/>
      <c r="K415" s="105"/>
      <c r="L415" s="105"/>
      <c r="M415" s="108"/>
      <c r="N415" s="108"/>
    </row>
    <row r="416" spans="2:14">
      <c r="B416" s="107"/>
      <c r="C416" s="105"/>
      <c r="D416" s="105"/>
      <c r="E416" s="105"/>
      <c r="F416" s="105"/>
      <c r="G416" s="105"/>
      <c r="H416" s="105"/>
      <c r="I416" s="105"/>
      <c r="J416" s="105"/>
      <c r="K416" s="105"/>
      <c r="L416" s="105"/>
      <c r="M416" s="108"/>
      <c r="N416" s="108"/>
    </row>
    <row r="417" spans="2:14">
      <c r="B417" s="107"/>
      <c r="C417" s="105"/>
      <c r="D417" s="105"/>
      <c r="E417" s="105"/>
      <c r="F417" s="105"/>
      <c r="G417" s="105"/>
      <c r="H417" s="105"/>
      <c r="I417" s="105"/>
      <c r="J417" s="105"/>
      <c r="K417" s="105"/>
      <c r="L417" s="105"/>
      <c r="M417" s="108"/>
      <c r="N417" s="108"/>
    </row>
    <row r="418" spans="2:14">
      <c r="B418" s="107"/>
      <c r="C418" s="105"/>
      <c r="D418" s="105"/>
      <c r="E418" s="105"/>
      <c r="F418" s="105"/>
      <c r="G418" s="105"/>
      <c r="H418" s="105"/>
      <c r="I418" s="105"/>
      <c r="J418" s="105"/>
      <c r="K418" s="105"/>
      <c r="L418" s="105"/>
      <c r="M418" s="108"/>
      <c r="N418" s="108"/>
    </row>
    <row r="419" spans="2:14">
      <c r="B419" s="107"/>
      <c r="C419" s="105"/>
      <c r="D419" s="105"/>
      <c r="E419" s="105"/>
      <c r="F419" s="105"/>
      <c r="G419" s="105"/>
      <c r="H419" s="105"/>
      <c r="I419" s="105"/>
      <c r="J419" s="105"/>
      <c r="K419" s="105"/>
      <c r="L419" s="105"/>
      <c r="M419" s="108"/>
      <c r="N419" s="108"/>
    </row>
    <row r="420" spans="2:14">
      <c r="B420" s="107"/>
      <c r="C420" s="105"/>
      <c r="D420" s="105"/>
      <c r="E420" s="105"/>
      <c r="F420" s="105"/>
      <c r="G420" s="105"/>
      <c r="H420" s="105"/>
      <c r="I420" s="105"/>
      <c r="J420" s="105"/>
      <c r="K420" s="105"/>
      <c r="L420" s="105"/>
      <c r="M420" s="108"/>
      <c r="N420" s="108"/>
    </row>
    <row r="421" spans="2:14">
      <c r="B421" s="107"/>
      <c r="C421" s="105"/>
      <c r="D421" s="105"/>
      <c r="E421" s="105"/>
      <c r="F421" s="105"/>
      <c r="G421" s="105"/>
      <c r="H421" s="105"/>
      <c r="I421" s="105"/>
      <c r="J421" s="105"/>
      <c r="K421" s="105"/>
      <c r="L421" s="105"/>
      <c r="M421" s="108"/>
      <c r="N421" s="108"/>
    </row>
    <row r="422" spans="2:14">
      <c r="B422" s="107"/>
      <c r="C422" s="105"/>
      <c r="D422" s="105"/>
      <c r="E422" s="105"/>
      <c r="F422" s="105"/>
      <c r="G422" s="105"/>
      <c r="H422" s="105"/>
      <c r="I422" s="105"/>
      <c r="J422" s="105"/>
      <c r="K422" s="105"/>
      <c r="L422" s="105"/>
      <c r="M422" s="108"/>
      <c r="N422" s="108"/>
    </row>
    <row r="423" spans="2:14">
      <c r="B423" s="107"/>
      <c r="C423" s="105"/>
      <c r="D423" s="105"/>
      <c r="E423" s="105"/>
      <c r="F423" s="105"/>
      <c r="G423" s="105"/>
      <c r="H423" s="105"/>
      <c r="I423" s="105"/>
      <c r="J423" s="105"/>
      <c r="K423" s="105"/>
      <c r="L423" s="105"/>
      <c r="M423" s="108"/>
      <c r="N423" s="108"/>
    </row>
    <row r="424" spans="2:14">
      <c r="B424" s="107"/>
      <c r="C424" s="105"/>
      <c r="D424" s="105"/>
      <c r="E424" s="105"/>
      <c r="F424" s="105"/>
      <c r="G424" s="105"/>
      <c r="H424" s="105"/>
      <c r="I424" s="105"/>
      <c r="J424" s="105"/>
      <c r="K424" s="105"/>
      <c r="L424" s="105"/>
      <c r="M424" s="108"/>
      <c r="N424" s="108"/>
    </row>
    <row r="425" spans="2:14">
      <c r="B425" s="107"/>
      <c r="C425" s="105"/>
      <c r="D425" s="105"/>
      <c r="E425" s="105"/>
      <c r="F425" s="105"/>
      <c r="G425" s="105"/>
      <c r="H425" s="105"/>
      <c r="I425" s="105"/>
      <c r="J425" s="105"/>
      <c r="K425" s="105"/>
      <c r="L425" s="105"/>
      <c r="M425" s="108"/>
      <c r="N425" s="108"/>
    </row>
    <row r="426" spans="2:14">
      <c r="B426" s="107"/>
      <c r="C426" s="105"/>
      <c r="D426" s="105"/>
      <c r="E426" s="105"/>
      <c r="F426" s="105"/>
      <c r="G426" s="105"/>
      <c r="H426" s="105"/>
      <c r="I426" s="105"/>
      <c r="J426" s="105"/>
      <c r="K426" s="105"/>
      <c r="L426" s="105"/>
      <c r="M426" s="108"/>
      <c r="N426" s="108"/>
    </row>
    <row r="427" spans="2:14">
      <c r="B427" s="107"/>
      <c r="C427" s="105"/>
      <c r="D427" s="105"/>
      <c r="E427" s="105"/>
      <c r="F427" s="105"/>
      <c r="G427" s="105"/>
      <c r="H427" s="105"/>
      <c r="I427" s="105"/>
      <c r="J427" s="105"/>
      <c r="K427" s="105"/>
      <c r="L427" s="105"/>
      <c r="M427" s="108"/>
      <c r="N427" s="108"/>
    </row>
    <row r="428" spans="2:14">
      <c r="B428" s="107"/>
      <c r="C428" s="105"/>
      <c r="D428" s="105"/>
      <c r="E428" s="105"/>
      <c r="F428" s="105"/>
      <c r="G428" s="105"/>
      <c r="H428" s="105"/>
      <c r="I428" s="105"/>
      <c r="J428" s="105"/>
      <c r="K428" s="105"/>
      <c r="L428" s="105"/>
      <c r="M428" s="108"/>
      <c r="N428" s="108"/>
    </row>
    <row r="429" spans="2:14">
      <c r="B429" s="107"/>
      <c r="C429" s="105"/>
      <c r="D429" s="105"/>
      <c r="E429" s="105"/>
      <c r="F429" s="105"/>
      <c r="G429" s="105"/>
      <c r="H429" s="105"/>
      <c r="I429" s="105"/>
      <c r="J429" s="105"/>
      <c r="K429" s="105"/>
      <c r="L429" s="105"/>
      <c r="M429" s="108"/>
      <c r="N429" s="108"/>
    </row>
    <row r="430" spans="2:14">
      <c r="B430" s="107"/>
      <c r="C430" s="105"/>
      <c r="D430" s="105"/>
      <c r="E430" s="105"/>
      <c r="F430" s="105"/>
      <c r="G430" s="105"/>
      <c r="H430" s="105"/>
      <c r="I430" s="105"/>
      <c r="J430" s="105"/>
      <c r="K430" s="105"/>
      <c r="L430" s="105"/>
      <c r="M430" s="108"/>
      <c r="N430" s="108"/>
    </row>
    <row r="431" spans="2:14">
      <c r="B431" s="107"/>
      <c r="C431" s="105"/>
      <c r="D431" s="105"/>
      <c r="E431" s="105"/>
      <c r="F431" s="105"/>
      <c r="G431" s="105"/>
      <c r="H431" s="105"/>
      <c r="I431" s="105"/>
      <c r="J431" s="105"/>
      <c r="K431" s="105"/>
      <c r="L431" s="105"/>
      <c r="M431" s="108"/>
      <c r="N431" s="108"/>
    </row>
    <row r="432" spans="2:14">
      <c r="B432" s="107"/>
      <c r="C432" s="105"/>
      <c r="D432" s="105"/>
      <c r="E432" s="105"/>
      <c r="F432" s="105"/>
      <c r="G432" s="105"/>
      <c r="H432" s="105"/>
      <c r="I432" s="105"/>
      <c r="J432" s="105"/>
      <c r="K432" s="105"/>
      <c r="L432" s="105"/>
      <c r="M432" s="108"/>
      <c r="N432" s="108"/>
    </row>
    <row r="433" spans="2:14">
      <c r="B433" s="107"/>
      <c r="C433" s="105"/>
      <c r="D433" s="105"/>
      <c r="E433" s="105"/>
      <c r="F433" s="105"/>
      <c r="G433" s="105"/>
      <c r="H433" s="105"/>
      <c r="I433" s="105"/>
      <c r="J433" s="105"/>
      <c r="K433" s="105"/>
      <c r="L433" s="105"/>
      <c r="M433" s="108"/>
      <c r="N433" s="108"/>
    </row>
    <row r="434" spans="2:14">
      <c r="B434" s="107"/>
      <c r="C434" s="105"/>
      <c r="D434" s="105"/>
      <c r="E434" s="105"/>
      <c r="F434" s="105"/>
      <c r="G434" s="105"/>
      <c r="H434" s="105"/>
      <c r="I434" s="105"/>
      <c r="J434" s="105"/>
      <c r="K434" s="105"/>
      <c r="L434" s="105"/>
      <c r="M434" s="108"/>
      <c r="N434" s="108"/>
    </row>
    <row r="435" spans="2:14">
      <c r="B435" s="107"/>
      <c r="C435" s="105"/>
      <c r="D435" s="105"/>
      <c r="E435" s="105"/>
      <c r="F435" s="105"/>
      <c r="G435" s="105"/>
      <c r="H435" s="105"/>
      <c r="I435" s="105"/>
      <c r="J435" s="105"/>
      <c r="K435" s="105"/>
      <c r="L435" s="105"/>
      <c r="M435" s="108"/>
      <c r="N435" s="108"/>
    </row>
    <row r="436" spans="2:14">
      <c r="B436" s="107"/>
      <c r="C436" s="105"/>
      <c r="D436" s="105"/>
      <c r="E436" s="105"/>
      <c r="F436" s="105"/>
      <c r="G436" s="105"/>
      <c r="H436" s="105"/>
      <c r="I436" s="105"/>
      <c r="J436" s="105"/>
      <c r="K436" s="105"/>
      <c r="L436" s="105"/>
      <c r="M436" s="108"/>
      <c r="N436" s="108"/>
    </row>
    <row r="437" spans="2:14">
      <c r="B437" s="107"/>
      <c r="C437" s="105"/>
      <c r="D437" s="105"/>
      <c r="E437" s="105"/>
      <c r="F437" s="105"/>
      <c r="G437" s="105"/>
      <c r="H437" s="105"/>
      <c r="I437" s="105"/>
      <c r="J437" s="105"/>
      <c r="K437" s="105"/>
      <c r="L437" s="105"/>
      <c r="M437" s="108"/>
      <c r="N437" s="108"/>
    </row>
    <row r="438" spans="2:14">
      <c r="B438" s="107"/>
      <c r="C438" s="105"/>
      <c r="D438" s="105"/>
      <c r="E438" s="105"/>
      <c r="F438" s="105"/>
      <c r="G438" s="105"/>
      <c r="H438" s="105"/>
      <c r="I438" s="105"/>
      <c r="J438" s="105"/>
      <c r="K438" s="105"/>
      <c r="L438" s="105"/>
      <c r="M438" s="108"/>
      <c r="N438" s="108"/>
    </row>
    <row r="439" spans="2:14">
      <c r="B439" s="107"/>
      <c r="C439" s="105"/>
      <c r="D439" s="105"/>
      <c r="E439" s="105"/>
      <c r="F439" s="105"/>
      <c r="G439" s="105"/>
      <c r="H439" s="105"/>
      <c r="I439" s="105"/>
      <c r="J439" s="105"/>
      <c r="K439" s="105"/>
      <c r="L439" s="105"/>
      <c r="M439" s="108"/>
      <c r="N439" s="108"/>
    </row>
    <row r="440" spans="2:14">
      <c r="B440" s="107"/>
      <c r="C440" s="105"/>
      <c r="D440" s="105"/>
      <c r="E440" s="105"/>
      <c r="F440" s="105"/>
      <c r="G440" s="105"/>
      <c r="H440" s="105"/>
      <c r="I440" s="105"/>
      <c r="J440" s="105"/>
      <c r="K440" s="105"/>
      <c r="L440" s="105"/>
      <c r="M440" s="108"/>
      <c r="N440" s="108"/>
    </row>
    <row r="441" spans="2:14">
      <c r="B441" s="107"/>
      <c r="C441" s="105"/>
      <c r="D441" s="105"/>
      <c r="E441" s="105"/>
      <c r="F441" s="105"/>
      <c r="G441" s="105"/>
      <c r="H441" s="105"/>
      <c r="I441" s="105"/>
      <c r="J441" s="105"/>
      <c r="K441" s="105"/>
      <c r="L441" s="105"/>
      <c r="M441" s="108"/>
      <c r="N441" s="108"/>
    </row>
    <row r="442" spans="2:14">
      <c r="B442" s="107"/>
      <c r="C442" s="105"/>
      <c r="D442" s="105"/>
      <c r="E442" s="105"/>
      <c r="F442" s="105"/>
      <c r="G442" s="105"/>
      <c r="H442" s="105"/>
      <c r="I442" s="105"/>
      <c r="J442" s="105"/>
      <c r="K442" s="105"/>
      <c r="L442" s="105"/>
      <c r="M442" s="108"/>
      <c r="N442" s="108"/>
    </row>
    <row r="443" spans="2:14">
      <c r="B443" s="107"/>
      <c r="C443" s="105"/>
      <c r="D443" s="105"/>
      <c r="E443" s="105"/>
      <c r="F443" s="105"/>
      <c r="G443" s="105"/>
      <c r="H443" s="105"/>
      <c r="I443" s="105"/>
      <c r="J443" s="105"/>
      <c r="K443" s="105"/>
      <c r="L443" s="105"/>
      <c r="M443" s="108"/>
      <c r="N443" s="108"/>
    </row>
    <row r="444" spans="2:14">
      <c r="B444" s="107"/>
      <c r="C444" s="105"/>
      <c r="D444" s="105"/>
      <c r="E444" s="105"/>
      <c r="F444" s="105"/>
      <c r="G444" s="105"/>
      <c r="H444" s="105"/>
      <c r="I444" s="105"/>
      <c r="J444" s="105"/>
      <c r="K444" s="105"/>
      <c r="L444" s="105"/>
      <c r="M444" s="108"/>
      <c r="N444" s="108"/>
    </row>
    <row r="445" spans="2:14">
      <c r="B445" s="107"/>
      <c r="C445" s="105"/>
      <c r="D445" s="105"/>
      <c r="E445" s="105"/>
      <c r="F445" s="105"/>
      <c r="G445" s="105"/>
      <c r="H445" s="105"/>
      <c r="I445" s="105"/>
      <c r="J445" s="105"/>
      <c r="K445" s="105"/>
      <c r="L445" s="105"/>
      <c r="M445" s="108"/>
      <c r="N445" s="108"/>
    </row>
    <row r="446" spans="2:14">
      <c r="B446" s="107"/>
      <c r="C446" s="105"/>
      <c r="D446" s="105"/>
      <c r="E446" s="105"/>
      <c r="F446" s="105"/>
      <c r="G446" s="105"/>
      <c r="H446" s="105"/>
      <c r="I446" s="105"/>
      <c r="J446" s="105"/>
      <c r="K446" s="105"/>
      <c r="L446" s="105"/>
      <c r="M446" s="108"/>
      <c r="N446" s="108"/>
    </row>
    <row r="447" spans="2:14">
      <c r="B447" s="107"/>
      <c r="C447" s="105"/>
      <c r="D447" s="105"/>
      <c r="E447" s="105"/>
      <c r="F447" s="105"/>
      <c r="G447" s="105"/>
      <c r="H447" s="105"/>
      <c r="I447" s="105"/>
      <c r="J447" s="105"/>
      <c r="K447" s="105"/>
      <c r="L447" s="105"/>
      <c r="M447" s="108"/>
      <c r="N447" s="108"/>
    </row>
    <row r="448" spans="2:14">
      <c r="B448" s="107"/>
      <c r="C448" s="105"/>
      <c r="D448" s="105"/>
      <c r="E448" s="105"/>
      <c r="F448" s="105"/>
      <c r="G448" s="105"/>
      <c r="H448" s="105"/>
      <c r="I448" s="105"/>
      <c r="J448" s="105"/>
      <c r="K448" s="105"/>
      <c r="L448" s="105"/>
      <c r="M448" s="108"/>
      <c r="N448" s="108"/>
    </row>
    <row r="449" spans="2:14">
      <c r="B449" s="107"/>
      <c r="C449" s="105"/>
      <c r="D449" s="105"/>
      <c r="E449" s="105"/>
      <c r="F449" s="105"/>
      <c r="G449" s="105"/>
      <c r="H449" s="105"/>
      <c r="I449" s="105"/>
      <c r="J449" s="105"/>
      <c r="K449" s="105"/>
      <c r="L449" s="105"/>
      <c r="M449" s="108"/>
      <c r="N449" s="108"/>
    </row>
    <row r="450" spans="2:14">
      <c r="B450" s="107"/>
      <c r="C450" s="105"/>
      <c r="D450" s="105"/>
      <c r="E450" s="105"/>
      <c r="F450" s="105"/>
      <c r="G450" s="105"/>
      <c r="H450" s="105"/>
      <c r="I450" s="105"/>
      <c r="J450" s="105"/>
      <c r="K450" s="105"/>
      <c r="L450" s="105"/>
      <c r="M450" s="108"/>
      <c r="N450" s="108"/>
    </row>
    <row r="451" spans="2:14">
      <c r="B451" s="107"/>
      <c r="C451" s="105"/>
      <c r="D451" s="105"/>
      <c r="E451" s="105"/>
      <c r="F451" s="105"/>
      <c r="G451" s="105"/>
      <c r="H451" s="105"/>
      <c r="I451" s="105"/>
      <c r="J451" s="105"/>
      <c r="K451" s="105"/>
      <c r="L451" s="105"/>
      <c r="M451" s="108"/>
      <c r="N451" s="108"/>
    </row>
    <row r="452" spans="2:14">
      <c r="B452" s="107"/>
      <c r="C452" s="105"/>
      <c r="D452" s="105"/>
      <c r="E452" s="105"/>
      <c r="F452" s="105"/>
      <c r="G452" s="105"/>
      <c r="H452" s="105"/>
      <c r="I452" s="105"/>
      <c r="J452" s="105"/>
      <c r="K452" s="105"/>
      <c r="L452" s="105"/>
      <c r="M452" s="108"/>
      <c r="N452" s="108"/>
    </row>
    <row r="453" spans="2:14">
      <c r="B453" s="107"/>
      <c r="C453" s="105"/>
      <c r="D453" s="105"/>
      <c r="E453" s="105"/>
      <c r="F453" s="105"/>
      <c r="G453" s="105"/>
      <c r="H453" s="105"/>
      <c r="I453" s="105"/>
      <c r="J453" s="105"/>
      <c r="K453" s="105"/>
      <c r="L453" s="105"/>
      <c r="M453" s="108"/>
      <c r="N453" s="108"/>
    </row>
    <row r="454" spans="2:14">
      <c r="B454" s="107"/>
      <c r="C454" s="105"/>
      <c r="D454" s="105"/>
      <c r="E454" s="105"/>
      <c r="F454" s="105"/>
      <c r="G454" s="105"/>
      <c r="H454" s="105"/>
      <c r="I454" s="105"/>
      <c r="J454" s="105"/>
      <c r="K454" s="105"/>
      <c r="L454" s="105"/>
      <c r="M454" s="108"/>
      <c r="N454" s="108"/>
    </row>
    <row r="455" spans="2:14">
      <c r="B455" s="107"/>
      <c r="C455" s="105"/>
      <c r="D455" s="105"/>
      <c r="E455" s="105"/>
      <c r="F455" s="105"/>
      <c r="G455" s="105"/>
      <c r="H455" s="105"/>
      <c r="I455" s="105"/>
      <c r="J455" s="105"/>
      <c r="K455" s="105"/>
      <c r="L455" s="105"/>
      <c r="M455" s="108"/>
      <c r="N455" s="108"/>
    </row>
    <row r="456" spans="2:14">
      <c r="B456" s="107"/>
      <c r="C456" s="105"/>
      <c r="D456" s="105"/>
      <c r="E456" s="105"/>
      <c r="F456" s="105"/>
      <c r="G456" s="105"/>
      <c r="H456" s="105"/>
      <c r="I456" s="105"/>
      <c r="J456" s="105"/>
      <c r="K456" s="105"/>
      <c r="L456" s="105"/>
      <c r="M456" s="108"/>
      <c r="N456" s="108"/>
    </row>
    <row r="457" spans="2:14">
      <c r="B457" s="107"/>
      <c r="C457" s="105"/>
      <c r="D457" s="105"/>
      <c r="E457" s="105"/>
      <c r="F457" s="105"/>
      <c r="G457" s="105"/>
      <c r="H457" s="105"/>
      <c r="I457" s="105"/>
      <c r="J457" s="105"/>
      <c r="K457" s="105"/>
      <c r="L457" s="105"/>
      <c r="M457" s="108"/>
      <c r="N457" s="108"/>
    </row>
    <row r="458" spans="2:14">
      <c r="B458" s="107"/>
      <c r="C458" s="105"/>
      <c r="D458" s="105"/>
      <c r="E458" s="105"/>
      <c r="F458" s="105"/>
      <c r="G458" s="105"/>
      <c r="H458" s="105"/>
      <c r="I458" s="105"/>
      <c r="J458" s="105"/>
      <c r="K458" s="105"/>
      <c r="L458" s="105"/>
      <c r="M458" s="108"/>
      <c r="N458" s="108"/>
    </row>
    <row r="459" spans="2:14">
      <c r="B459" s="107"/>
      <c r="C459" s="105"/>
      <c r="D459" s="105"/>
      <c r="E459" s="105"/>
      <c r="F459" s="105"/>
      <c r="G459" s="105"/>
      <c r="H459" s="105"/>
      <c r="I459" s="105"/>
      <c r="J459" s="105"/>
      <c r="K459" s="105"/>
      <c r="L459" s="105"/>
      <c r="M459" s="108"/>
      <c r="N459" s="108"/>
    </row>
    <row r="460" spans="2:14">
      <c r="B460" s="107"/>
      <c r="C460" s="105"/>
      <c r="D460" s="105"/>
      <c r="E460" s="105"/>
      <c r="F460" s="105"/>
      <c r="G460" s="105"/>
      <c r="H460" s="105"/>
      <c r="I460" s="105"/>
      <c r="J460" s="105"/>
      <c r="K460" s="105"/>
      <c r="L460" s="105"/>
      <c r="M460" s="108"/>
      <c r="N460" s="108"/>
    </row>
    <row r="461" spans="2:14">
      <c r="B461" s="107"/>
      <c r="C461" s="105"/>
      <c r="D461" s="105"/>
      <c r="E461" s="105"/>
      <c r="F461" s="105"/>
      <c r="G461" s="105"/>
      <c r="H461" s="105"/>
      <c r="I461" s="105"/>
      <c r="J461" s="105"/>
      <c r="K461" s="105"/>
      <c r="L461" s="105"/>
      <c r="M461" s="108"/>
      <c r="N461" s="108"/>
    </row>
    <row r="462" spans="2:14">
      <c r="B462" s="107"/>
      <c r="C462" s="105"/>
      <c r="D462" s="105"/>
      <c r="E462" s="105"/>
      <c r="F462" s="105"/>
      <c r="G462" s="105"/>
      <c r="H462" s="105"/>
      <c r="I462" s="105"/>
      <c r="J462" s="105"/>
      <c r="K462" s="105"/>
      <c r="L462" s="105"/>
      <c r="M462" s="108"/>
      <c r="N462" s="108"/>
    </row>
    <row r="463" spans="2:14">
      <c r="B463" s="107"/>
      <c r="C463" s="105"/>
      <c r="D463" s="105"/>
      <c r="E463" s="105"/>
      <c r="F463" s="105"/>
      <c r="G463" s="105"/>
      <c r="H463" s="105"/>
      <c r="I463" s="105"/>
      <c r="J463" s="105"/>
      <c r="K463" s="105"/>
      <c r="L463" s="105"/>
      <c r="M463" s="108"/>
      <c r="N463" s="108"/>
    </row>
    <row r="464" spans="2:14">
      <c r="B464" s="107"/>
      <c r="C464" s="105"/>
      <c r="D464" s="105"/>
      <c r="E464" s="105"/>
      <c r="F464" s="105"/>
      <c r="G464" s="105"/>
      <c r="H464" s="105"/>
      <c r="I464" s="105"/>
      <c r="J464" s="105"/>
      <c r="K464" s="105"/>
      <c r="L464" s="105"/>
      <c r="M464" s="108"/>
      <c r="N464" s="108"/>
    </row>
    <row r="465" spans="2:14">
      <c r="B465" s="107"/>
      <c r="C465" s="105"/>
      <c r="D465" s="105"/>
      <c r="E465" s="105"/>
      <c r="F465" s="105"/>
      <c r="G465" s="105"/>
      <c r="H465" s="105"/>
      <c r="I465" s="105"/>
      <c r="J465" s="105"/>
      <c r="K465" s="105"/>
      <c r="L465" s="105"/>
      <c r="M465" s="108"/>
      <c r="N465" s="108"/>
    </row>
    <row r="466" spans="2:14">
      <c r="B466" s="107"/>
      <c r="C466" s="105"/>
      <c r="D466" s="105"/>
      <c r="E466" s="105"/>
      <c r="F466" s="105"/>
      <c r="G466" s="105"/>
      <c r="H466" s="105"/>
      <c r="I466" s="105"/>
      <c r="J466" s="105"/>
      <c r="K466" s="105"/>
      <c r="L466" s="105"/>
      <c r="M466" s="108"/>
      <c r="N466" s="108"/>
    </row>
    <row r="467" spans="2:14">
      <c r="B467" s="107"/>
      <c r="C467" s="105"/>
      <c r="D467" s="105"/>
      <c r="E467" s="105"/>
      <c r="F467" s="105"/>
      <c r="G467" s="105"/>
      <c r="H467" s="105"/>
      <c r="I467" s="105"/>
      <c r="J467" s="105"/>
      <c r="K467" s="105"/>
      <c r="L467" s="105"/>
      <c r="M467" s="108"/>
      <c r="N467" s="108"/>
    </row>
    <row r="468" spans="2:14">
      <c r="B468" s="107"/>
      <c r="C468" s="105"/>
      <c r="D468" s="105"/>
      <c r="E468" s="105"/>
      <c r="F468" s="105"/>
      <c r="G468" s="105"/>
      <c r="H468" s="105"/>
      <c r="I468" s="105"/>
      <c r="J468" s="105"/>
      <c r="K468" s="105"/>
      <c r="L468" s="105"/>
      <c r="M468" s="108"/>
      <c r="N468" s="108"/>
    </row>
    <row r="469" spans="2:14">
      <c r="B469" s="107"/>
      <c r="C469" s="105"/>
      <c r="D469" s="105"/>
      <c r="E469" s="105"/>
      <c r="F469" s="105"/>
      <c r="G469" s="105"/>
      <c r="H469" s="105"/>
      <c r="I469" s="105"/>
      <c r="J469" s="105"/>
      <c r="K469" s="105"/>
      <c r="L469" s="105"/>
      <c r="M469" s="108"/>
      <c r="N469" s="108"/>
    </row>
    <row r="470" spans="2:14">
      <c r="B470" s="107"/>
      <c r="C470" s="105"/>
      <c r="D470" s="105"/>
      <c r="E470" s="105"/>
      <c r="F470" s="105"/>
      <c r="G470" s="105"/>
      <c r="H470" s="105"/>
      <c r="I470" s="105"/>
      <c r="J470" s="105"/>
      <c r="K470" s="105"/>
      <c r="L470" s="105"/>
      <c r="M470" s="108"/>
      <c r="N470" s="108"/>
    </row>
    <row r="471" spans="2:14">
      <c r="B471" s="107"/>
      <c r="C471" s="105"/>
      <c r="D471" s="105"/>
      <c r="E471" s="105"/>
      <c r="F471" s="105"/>
      <c r="G471" s="105"/>
      <c r="H471" s="105"/>
      <c r="I471" s="105"/>
      <c r="J471" s="105"/>
      <c r="K471" s="105"/>
      <c r="L471" s="105"/>
      <c r="M471" s="108"/>
      <c r="N471" s="108"/>
    </row>
    <row r="472" spans="2:14">
      <c r="B472" s="107"/>
      <c r="C472" s="105"/>
      <c r="D472" s="105"/>
      <c r="E472" s="105"/>
      <c r="F472" s="105"/>
      <c r="G472" s="105"/>
      <c r="H472" s="105"/>
      <c r="I472" s="105"/>
      <c r="J472" s="105"/>
      <c r="K472" s="105"/>
      <c r="L472" s="105"/>
      <c r="M472" s="108"/>
      <c r="N472" s="108"/>
    </row>
    <row r="473" spans="2:14">
      <c r="B473" s="107"/>
      <c r="C473" s="105"/>
      <c r="D473" s="105"/>
      <c r="E473" s="105"/>
      <c r="F473" s="105"/>
      <c r="G473" s="105"/>
      <c r="H473" s="105"/>
      <c r="I473" s="105"/>
      <c r="J473" s="105"/>
      <c r="K473" s="105"/>
      <c r="L473" s="105"/>
      <c r="M473" s="108"/>
      <c r="N473" s="108"/>
    </row>
    <row r="474" spans="2:14">
      <c r="B474" s="107"/>
      <c r="C474" s="105"/>
      <c r="D474" s="105"/>
      <c r="E474" s="105"/>
      <c r="F474" s="105"/>
      <c r="G474" s="105"/>
      <c r="H474" s="105"/>
      <c r="I474" s="105"/>
      <c r="J474" s="105"/>
      <c r="K474" s="105"/>
      <c r="L474" s="105"/>
      <c r="M474" s="108"/>
      <c r="N474" s="108"/>
    </row>
    <row r="475" spans="2:14">
      <c r="B475" s="107"/>
      <c r="C475" s="105"/>
      <c r="D475" s="105"/>
      <c r="E475" s="105"/>
      <c r="F475" s="105"/>
      <c r="G475" s="105"/>
      <c r="H475" s="105"/>
      <c r="I475" s="105"/>
      <c r="J475" s="105"/>
      <c r="K475" s="105"/>
      <c r="L475" s="105"/>
      <c r="M475" s="108"/>
      <c r="N475" s="108"/>
    </row>
    <row r="476" spans="2:14">
      <c r="B476" s="107"/>
      <c r="C476" s="105"/>
      <c r="D476" s="105"/>
      <c r="E476" s="105"/>
      <c r="F476" s="105"/>
      <c r="G476" s="105"/>
      <c r="H476" s="105"/>
      <c r="I476" s="105"/>
      <c r="J476" s="105"/>
      <c r="K476" s="105"/>
      <c r="L476" s="105"/>
      <c r="M476" s="108"/>
      <c r="N476" s="108"/>
    </row>
    <row r="477" spans="2:14">
      <c r="B477" s="107"/>
      <c r="C477" s="105"/>
      <c r="D477" s="105"/>
      <c r="E477" s="105"/>
      <c r="F477" s="105"/>
      <c r="G477" s="105"/>
      <c r="H477" s="105"/>
      <c r="I477" s="105"/>
      <c r="J477" s="105"/>
      <c r="K477" s="105"/>
      <c r="L477" s="105"/>
      <c r="M477" s="108"/>
      <c r="N477" s="108"/>
    </row>
    <row r="478" spans="2:14">
      <c r="B478" s="107"/>
      <c r="C478" s="105"/>
      <c r="D478" s="105"/>
      <c r="E478" s="105"/>
      <c r="F478" s="105"/>
      <c r="G478" s="105"/>
      <c r="H478" s="105"/>
      <c r="I478" s="105"/>
      <c r="J478" s="105"/>
      <c r="K478" s="105"/>
      <c r="L478" s="105"/>
      <c r="M478" s="108"/>
      <c r="N478" s="108"/>
    </row>
    <row r="479" spans="2:14">
      <c r="B479" s="107"/>
      <c r="C479" s="105"/>
      <c r="D479" s="105"/>
      <c r="E479" s="105"/>
      <c r="F479" s="105"/>
      <c r="G479" s="105"/>
      <c r="H479" s="105"/>
      <c r="I479" s="105"/>
      <c r="J479" s="105"/>
      <c r="K479" s="105"/>
      <c r="L479" s="105"/>
      <c r="M479" s="108"/>
      <c r="N479" s="108"/>
    </row>
    <row r="480" spans="2:14">
      <c r="B480" s="107"/>
      <c r="C480" s="105"/>
      <c r="D480" s="105"/>
      <c r="E480" s="105"/>
      <c r="F480" s="105"/>
      <c r="G480" s="105"/>
      <c r="H480" s="105"/>
      <c r="I480" s="105"/>
      <c r="J480" s="105"/>
      <c r="K480" s="105"/>
      <c r="L480" s="105"/>
      <c r="M480" s="108"/>
      <c r="N480" s="108"/>
    </row>
    <row r="481" spans="2:14">
      <c r="B481" s="107"/>
      <c r="C481" s="105"/>
      <c r="D481" s="105"/>
      <c r="E481" s="105"/>
      <c r="F481" s="105"/>
      <c r="G481" s="105"/>
      <c r="H481" s="105"/>
      <c r="I481" s="105"/>
      <c r="J481" s="105"/>
      <c r="K481" s="105"/>
      <c r="L481" s="105"/>
      <c r="M481" s="108"/>
      <c r="N481" s="108"/>
    </row>
    <row r="482" spans="2:14">
      <c r="B482" s="107"/>
      <c r="C482" s="105"/>
      <c r="D482" s="105"/>
      <c r="E482" s="105"/>
      <c r="F482" s="105"/>
      <c r="G482" s="105"/>
      <c r="H482" s="105"/>
      <c r="I482" s="105"/>
      <c r="J482" s="105"/>
      <c r="K482" s="105"/>
      <c r="L482" s="105"/>
      <c r="M482" s="108"/>
      <c r="N482" s="108"/>
    </row>
    <row r="483" spans="2:14">
      <c r="B483" s="107"/>
      <c r="C483" s="105"/>
      <c r="D483" s="105"/>
      <c r="E483" s="105"/>
      <c r="F483" s="105"/>
      <c r="G483" s="105"/>
      <c r="H483" s="105"/>
      <c r="I483" s="105"/>
      <c r="J483" s="105"/>
      <c r="K483" s="105"/>
      <c r="L483" s="105"/>
      <c r="M483" s="108"/>
      <c r="N483" s="108"/>
    </row>
    <row r="484" spans="2:14">
      <c r="B484" s="107"/>
      <c r="C484" s="105"/>
      <c r="D484" s="105"/>
      <c r="E484" s="105"/>
      <c r="F484" s="105"/>
      <c r="G484" s="105"/>
      <c r="H484" s="105"/>
      <c r="I484" s="105"/>
      <c r="J484" s="105"/>
      <c r="K484" s="105"/>
      <c r="L484" s="105"/>
      <c r="M484" s="108"/>
      <c r="N484" s="108"/>
    </row>
    <row r="485" spans="2:14">
      <c r="B485" s="107"/>
      <c r="C485" s="105"/>
      <c r="D485" s="105"/>
      <c r="E485" s="105"/>
      <c r="F485" s="105"/>
      <c r="G485" s="105"/>
      <c r="H485" s="105"/>
      <c r="I485" s="105"/>
      <c r="J485" s="105"/>
      <c r="K485" s="105"/>
      <c r="L485" s="105"/>
      <c r="M485" s="108"/>
      <c r="N485" s="108"/>
    </row>
    <row r="486" spans="2:14">
      <c r="B486" s="107"/>
      <c r="C486" s="105"/>
      <c r="D486" s="105"/>
      <c r="E486" s="105"/>
      <c r="F486" s="105"/>
      <c r="G486" s="105"/>
      <c r="H486" s="105"/>
      <c r="I486" s="105"/>
      <c r="J486" s="105"/>
      <c r="K486" s="105"/>
      <c r="L486" s="105"/>
      <c r="M486" s="108"/>
      <c r="N486" s="108"/>
    </row>
    <row r="487" spans="2:14">
      <c r="B487" s="107"/>
      <c r="C487" s="105"/>
      <c r="D487" s="105"/>
      <c r="E487" s="105"/>
      <c r="F487" s="105"/>
      <c r="G487" s="105"/>
      <c r="H487" s="105"/>
      <c r="I487" s="105"/>
      <c r="J487" s="105"/>
      <c r="K487" s="105"/>
      <c r="L487" s="105"/>
      <c r="M487" s="108"/>
      <c r="N487" s="108"/>
    </row>
    <row r="488" spans="2:14">
      <c r="B488" s="107"/>
      <c r="C488" s="105"/>
      <c r="D488" s="105"/>
      <c r="E488" s="105"/>
      <c r="F488" s="105"/>
      <c r="G488" s="105"/>
      <c r="H488" s="105"/>
      <c r="I488" s="105"/>
      <c r="J488" s="105"/>
      <c r="K488" s="105"/>
      <c r="L488" s="105"/>
      <c r="M488" s="108"/>
      <c r="N488" s="108"/>
    </row>
    <row r="489" spans="2:14">
      <c r="B489" s="107"/>
      <c r="C489" s="105"/>
      <c r="D489" s="105"/>
      <c r="E489" s="105"/>
      <c r="F489" s="105"/>
      <c r="G489" s="105"/>
      <c r="H489" s="105"/>
      <c r="I489" s="105"/>
      <c r="J489" s="105"/>
      <c r="K489" s="105"/>
      <c r="L489" s="105"/>
      <c r="M489" s="108"/>
      <c r="N489" s="108"/>
    </row>
    <row r="490" spans="2:14">
      <c r="B490" s="107"/>
      <c r="C490" s="105"/>
      <c r="D490" s="105"/>
      <c r="E490" s="105"/>
      <c r="F490" s="105"/>
      <c r="G490" s="105"/>
      <c r="H490" s="105"/>
      <c r="I490" s="105"/>
      <c r="J490" s="105"/>
      <c r="K490" s="105"/>
      <c r="L490" s="105"/>
      <c r="M490" s="108"/>
      <c r="N490" s="108"/>
    </row>
    <row r="491" spans="2:14">
      <c r="B491" s="107"/>
      <c r="C491" s="105"/>
      <c r="D491" s="105"/>
      <c r="E491" s="105"/>
      <c r="F491" s="105"/>
      <c r="G491" s="105"/>
      <c r="H491" s="105"/>
      <c r="I491" s="105"/>
      <c r="J491" s="105"/>
      <c r="K491" s="105"/>
      <c r="L491" s="105"/>
      <c r="M491" s="108"/>
      <c r="N491" s="108"/>
    </row>
    <row r="492" spans="2:14">
      <c r="B492" s="107"/>
      <c r="C492" s="105"/>
      <c r="D492" s="105"/>
      <c r="E492" s="105"/>
      <c r="F492" s="105"/>
      <c r="G492" s="105"/>
      <c r="H492" s="105"/>
      <c r="I492" s="105"/>
      <c r="J492" s="105"/>
      <c r="K492" s="105"/>
      <c r="L492" s="105"/>
      <c r="M492" s="108"/>
      <c r="N492" s="108"/>
    </row>
    <row r="493" spans="2:14">
      <c r="B493" s="107"/>
      <c r="C493" s="105"/>
      <c r="D493" s="105"/>
      <c r="E493" s="105"/>
      <c r="F493" s="105"/>
      <c r="G493" s="105"/>
      <c r="H493" s="105"/>
      <c r="I493" s="105"/>
      <c r="J493" s="105"/>
      <c r="K493" s="105"/>
      <c r="L493" s="105"/>
      <c r="M493" s="108"/>
      <c r="N493" s="108"/>
    </row>
    <row r="494" spans="2:14">
      <c r="B494" s="107"/>
      <c r="C494" s="105"/>
      <c r="D494" s="105"/>
      <c r="E494" s="105"/>
      <c r="F494" s="105"/>
      <c r="G494" s="105"/>
      <c r="H494" s="105"/>
      <c r="I494" s="105"/>
      <c r="J494" s="105"/>
      <c r="K494" s="105"/>
      <c r="L494" s="105"/>
      <c r="M494" s="108"/>
      <c r="N494" s="108"/>
    </row>
    <row r="495" spans="2:14">
      <c r="B495" s="107"/>
      <c r="C495" s="105"/>
      <c r="D495" s="105"/>
      <c r="E495" s="105"/>
      <c r="F495" s="105"/>
      <c r="G495" s="105"/>
      <c r="H495" s="105"/>
      <c r="I495" s="105"/>
      <c r="J495" s="105"/>
      <c r="K495" s="105"/>
      <c r="L495" s="105"/>
      <c r="M495" s="108"/>
      <c r="N495" s="108"/>
    </row>
    <row r="496" spans="2:14">
      <c r="B496" s="107"/>
      <c r="C496" s="105"/>
      <c r="D496" s="105"/>
      <c r="E496" s="105"/>
      <c r="F496" s="105"/>
      <c r="G496" s="105"/>
      <c r="H496" s="105"/>
      <c r="I496" s="105"/>
      <c r="J496" s="105"/>
      <c r="K496" s="105"/>
      <c r="L496" s="105"/>
      <c r="M496" s="108"/>
      <c r="N496" s="108"/>
    </row>
    <row r="497" spans="2:14">
      <c r="B497" s="107"/>
      <c r="C497" s="105"/>
      <c r="D497" s="105"/>
      <c r="E497" s="105"/>
      <c r="F497" s="105"/>
      <c r="G497" s="105"/>
      <c r="H497" s="105"/>
      <c r="I497" s="105"/>
      <c r="J497" s="105"/>
      <c r="K497" s="105"/>
      <c r="L497" s="105"/>
      <c r="M497" s="108"/>
      <c r="N497" s="108"/>
    </row>
    <row r="498" spans="2:14">
      <c r="B498" s="107"/>
      <c r="C498" s="105"/>
      <c r="D498" s="105"/>
      <c r="E498" s="105"/>
      <c r="F498" s="105"/>
      <c r="G498" s="105"/>
      <c r="H498" s="105"/>
      <c r="I498" s="105"/>
      <c r="J498" s="105"/>
      <c r="K498" s="105"/>
      <c r="L498" s="105"/>
      <c r="M498" s="108"/>
      <c r="N498" s="108"/>
    </row>
    <row r="499" spans="2:14">
      <c r="B499" s="107"/>
      <c r="C499" s="105"/>
      <c r="D499" s="105"/>
      <c r="E499" s="105"/>
      <c r="F499" s="105"/>
      <c r="G499" s="105"/>
      <c r="H499" s="105"/>
      <c r="I499" s="105"/>
      <c r="J499" s="105"/>
      <c r="K499" s="105"/>
      <c r="L499" s="105"/>
      <c r="M499" s="108"/>
      <c r="N499" s="108"/>
    </row>
    <row r="500" spans="2:14">
      <c r="B500" s="107"/>
      <c r="C500" s="105"/>
      <c r="D500" s="105"/>
      <c r="E500" s="105"/>
      <c r="F500" s="105"/>
      <c r="G500" s="105"/>
      <c r="H500" s="105"/>
      <c r="I500" s="105"/>
      <c r="J500" s="105"/>
      <c r="K500" s="105"/>
      <c r="L500" s="105"/>
      <c r="M500" s="108"/>
      <c r="N500" s="108"/>
    </row>
    <row r="501" spans="2:14">
      <c r="B501" s="107"/>
      <c r="C501" s="105"/>
      <c r="D501" s="105"/>
      <c r="E501" s="105"/>
      <c r="F501" s="105"/>
      <c r="G501" s="105"/>
      <c r="H501" s="105"/>
      <c r="I501" s="105"/>
      <c r="J501" s="105"/>
      <c r="K501" s="105"/>
      <c r="L501" s="105"/>
      <c r="M501" s="108"/>
      <c r="N501" s="108"/>
    </row>
    <row r="502" spans="2:14">
      <c r="B502" s="107"/>
      <c r="C502" s="105"/>
      <c r="D502" s="105"/>
      <c r="E502" s="105"/>
      <c r="F502" s="105"/>
      <c r="G502" s="105"/>
      <c r="H502" s="105"/>
      <c r="I502" s="105"/>
      <c r="J502" s="105"/>
      <c r="K502" s="105"/>
      <c r="L502" s="105"/>
      <c r="M502" s="108"/>
      <c r="N502" s="108"/>
    </row>
    <row r="503" spans="2:14">
      <c r="B503" s="107"/>
      <c r="C503" s="105"/>
      <c r="D503" s="105"/>
      <c r="E503" s="105"/>
      <c r="F503" s="105"/>
      <c r="G503" s="105"/>
      <c r="H503" s="105"/>
      <c r="I503" s="105"/>
      <c r="J503" s="105"/>
      <c r="K503" s="105"/>
      <c r="L503" s="105"/>
      <c r="M503" s="108"/>
      <c r="N503" s="108"/>
    </row>
    <row r="504" spans="2:14">
      <c r="B504" s="107"/>
      <c r="C504" s="105"/>
      <c r="D504" s="105"/>
      <c r="E504" s="105"/>
      <c r="F504" s="105"/>
      <c r="G504" s="105"/>
      <c r="H504" s="105"/>
      <c r="I504" s="105"/>
      <c r="J504" s="105"/>
      <c r="K504" s="105"/>
      <c r="L504" s="105"/>
      <c r="M504" s="108"/>
      <c r="N504" s="108"/>
    </row>
    <row r="505" spans="2:14">
      <c r="B505" s="107"/>
      <c r="C505" s="105"/>
      <c r="D505" s="105"/>
      <c r="E505" s="105"/>
      <c r="F505" s="105"/>
      <c r="G505" s="105"/>
      <c r="H505" s="105"/>
      <c r="I505" s="105"/>
      <c r="J505" s="105"/>
      <c r="K505" s="105"/>
      <c r="L505" s="105"/>
      <c r="M505" s="108"/>
      <c r="N505" s="108"/>
    </row>
    <row r="506" spans="2:14">
      <c r="B506" s="107"/>
      <c r="C506" s="105"/>
      <c r="D506" s="105"/>
      <c r="E506" s="105"/>
      <c r="F506" s="105"/>
      <c r="G506" s="105"/>
      <c r="H506" s="105"/>
      <c r="I506" s="105"/>
      <c r="J506" s="105"/>
      <c r="K506" s="105"/>
      <c r="L506" s="105"/>
      <c r="M506" s="108"/>
      <c r="N506" s="108"/>
    </row>
    <row r="507" spans="2:14">
      <c r="B507" s="107"/>
      <c r="C507" s="105"/>
      <c r="D507" s="105"/>
      <c r="E507" s="105"/>
      <c r="F507" s="105"/>
      <c r="G507" s="105"/>
      <c r="H507" s="105"/>
      <c r="I507" s="105"/>
      <c r="J507" s="105"/>
      <c r="K507" s="105"/>
      <c r="L507" s="105"/>
      <c r="M507" s="108"/>
      <c r="N507" s="108"/>
    </row>
    <row r="508" spans="2:14">
      <c r="B508" s="107"/>
      <c r="C508" s="105"/>
      <c r="D508" s="105"/>
      <c r="E508" s="105"/>
      <c r="F508" s="105"/>
      <c r="G508" s="105"/>
      <c r="H508" s="105"/>
      <c r="I508" s="105"/>
      <c r="J508" s="105"/>
      <c r="K508" s="105"/>
      <c r="L508" s="105"/>
      <c r="M508" s="108"/>
      <c r="N508" s="108"/>
    </row>
    <row r="509" spans="2:14">
      <c r="B509" s="107"/>
      <c r="C509" s="105"/>
      <c r="D509" s="105"/>
      <c r="E509" s="105"/>
      <c r="F509" s="105"/>
      <c r="G509" s="105"/>
      <c r="H509" s="105"/>
      <c r="I509" s="105"/>
      <c r="J509" s="105"/>
      <c r="K509" s="105"/>
      <c r="L509" s="105"/>
      <c r="M509" s="108"/>
      <c r="N509" s="108"/>
    </row>
    <row r="510" spans="2:14">
      <c r="B510" s="107"/>
      <c r="C510" s="105"/>
      <c r="D510" s="105"/>
      <c r="E510" s="105"/>
      <c r="F510" s="105"/>
      <c r="G510" s="105"/>
      <c r="H510" s="105"/>
      <c r="I510" s="105"/>
      <c r="J510" s="105"/>
      <c r="K510" s="105"/>
      <c r="L510" s="105"/>
      <c r="M510" s="108"/>
      <c r="N510" s="108"/>
    </row>
    <row r="511" spans="2:14">
      <c r="B511" s="107"/>
      <c r="C511" s="105"/>
      <c r="D511" s="105"/>
      <c r="E511" s="105"/>
      <c r="F511" s="105"/>
      <c r="G511" s="105"/>
      <c r="H511" s="105"/>
      <c r="I511" s="105"/>
      <c r="J511" s="105"/>
      <c r="K511" s="105"/>
      <c r="L511" s="105"/>
      <c r="M511" s="108"/>
      <c r="N511" s="108"/>
    </row>
    <row r="512" spans="2:14">
      <c r="B512" s="107"/>
      <c r="C512" s="105"/>
      <c r="D512" s="105"/>
      <c r="E512" s="105"/>
      <c r="F512" s="105"/>
      <c r="G512" s="105"/>
      <c r="H512" s="105"/>
      <c r="I512" s="105"/>
      <c r="J512" s="105"/>
      <c r="K512" s="105"/>
      <c r="L512" s="105"/>
      <c r="M512" s="108"/>
      <c r="N512" s="108"/>
    </row>
    <row r="513" spans="2:14">
      <c r="B513" s="107"/>
      <c r="C513" s="105"/>
      <c r="D513" s="105"/>
      <c r="E513" s="105"/>
      <c r="F513" s="105"/>
      <c r="G513" s="105"/>
      <c r="H513" s="105"/>
      <c r="I513" s="105"/>
      <c r="J513" s="105"/>
      <c r="K513" s="105"/>
      <c r="L513" s="105"/>
      <c r="M513" s="108"/>
      <c r="N513" s="108"/>
    </row>
    <row r="514" spans="2:14">
      <c r="B514" s="107"/>
      <c r="C514" s="105"/>
      <c r="D514" s="105"/>
      <c r="E514" s="105"/>
      <c r="F514" s="105"/>
      <c r="G514" s="105"/>
      <c r="H514" s="105"/>
      <c r="I514" s="105"/>
      <c r="J514" s="105"/>
      <c r="K514" s="105"/>
      <c r="L514" s="105"/>
      <c r="M514" s="108"/>
      <c r="N514" s="108"/>
    </row>
    <row r="515" spans="2:14">
      <c r="B515" s="107"/>
      <c r="C515" s="105"/>
      <c r="D515" s="105"/>
      <c r="E515" s="105"/>
      <c r="F515" s="105"/>
      <c r="G515" s="105"/>
      <c r="H515" s="105"/>
      <c r="I515" s="105"/>
      <c r="J515" s="105"/>
      <c r="K515" s="105"/>
      <c r="L515" s="105"/>
      <c r="M515" s="108"/>
      <c r="N515" s="108"/>
    </row>
    <row r="516" spans="2:14">
      <c r="B516" s="107"/>
      <c r="C516" s="105"/>
      <c r="D516" s="105"/>
      <c r="E516" s="105"/>
      <c r="F516" s="105"/>
      <c r="G516" s="105"/>
      <c r="H516" s="105"/>
      <c r="I516" s="105"/>
      <c r="J516" s="105"/>
      <c r="K516" s="105"/>
      <c r="L516" s="105"/>
      <c r="M516" s="108"/>
      <c r="N516" s="108"/>
    </row>
    <row r="517" spans="2:14">
      <c r="B517" s="107"/>
      <c r="C517" s="105"/>
      <c r="D517" s="105"/>
      <c r="E517" s="105"/>
      <c r="F517" s="105"/>
      <c r="G517" s="105"/>
      <c r="H517" s="105"/>
      <c r="I517" s="105"/>
      <c r="J517" s="105"/>
      <c r="K517" s="105"/>
      <c r="L517" s="105"/>
      <c r="M517" s="108"/>
      <c r="N517" s="108"/>
    </row>
    <row r="518" spans="2:14">
      <c r="B518" s="107"/>
      <c r="C518" s="105"/>
      <c r="D518" s="105"/>
      <c r="E518" s="105"/>
      <c r="F518" s="105"/>
      <c r="G518" s="105"/>
      <c r="H518" s="105"/>
      <c r="I518" s="105"/>
      <c r="J518" s="105"/>
      <c r="K518" s="105"/>
      <c r="L518" s="105"/>
    </row>
    <row r="519" spans="2:14">
      <c r="B519" s="107"/>
      <c r="C519" s="105"/>
      <c r="D519" s="105"/>
      <c r="E519" s="105"/>
      <c r="F519" s="105"/>
      <c r="G519" s="105"/>
      <c r="H519" s="105"/>
      <c r="I519" s="105"/>
      <c r="J519" s="105"/>
      <c r="K519" s="105"/>
      <c r="L519" s="105"/>
    </row>
    <row r="520" spans="2:14">
      <c r="B520" s="107"/>
      <c r="C520" s="105"/>
      <c r="D520" s="105"/>
      <c r="E520" s="105"/>
      <c r="F520" s="105"/>
      <c r="G520" s="105"/>
      <c r="H520" s="105"/>
      <c r="I520" s="105"/>
      <c r="J520" s="105"/>
      <c r="K520" s="105"/>
      <c r="L520" s="105"/>
    </row>
    <row r="521" spans="2:14">
      <c r="B521" s="107"/>
      <c r="C521" s="105"/>
      <c r="D521" s="105"/>
      <c r="E521" s="105"/>
      <c r="F521" s="105"/>
      <c r="G521" s="105"/>
      <c r="H521" s="105"/>
      <c r="I521" s="105"/>
      <c r="J521" s="105"/>
      <c r="K521" s="105"/>
      <c r="L521" s="105"/>
    </row>
    <row r="522" spans="2:14">
      <c r="B522" s="107"/>
      <c r="C522" s="105"/>
      <c r="D522" s="105"/>
      <c r="E522" s="105"/>
      <c r="F522" s="105"/>
      <c r="G522" s="105"/>
      <c r="H522" s="105"/>
      <c r="I522" s="105"/>
      <c r="J522" s="105"/>
      <c r="K522" s="105"/>
      <c r="L522" s="105"/>
    </row>
    <row r="523" spans="2:14">
      <c r="B523" s="107"/>
      <c r="C523" s="105"/>
      <c r="D523" s="105"/>
      <c r="E523" s="105"/>
      <c r="F523" s="105"/>
      <c r="G523" s="105"/>
      <c r="H523" s="105"/>
      <c r="I523" s="105"/>
      <c r="J523" s="105"/>
      <c r="K523" s="105"/>
      <c r="L523" s="105"/>
    </row>
    <row r="524" spans="2:14">
      <c r="B524" s="107"/>
      <c r="C524" s="105"/>
      <c r="D524" s="105"/>
      <c r="E524" s="105"/>
      <c r="F524" s="105"/>
      <c r="G524" s="105"/>
      <c r="H524" s="105"/>
      <c r="I524" s="105"/>
      <c r="J524" s="105"/>
      <c r="K524" s="105"/>
      <c r="L524" s="105"/>
    </row>
    <row r="525" spans="2:14">
      <c r="B525" s="107"/>
      <c r="C525" s="105"/>
      <c r="D525" s="105"/>
      <c r="E525" s="105"/>
      <c r="F525" s="105"/>
      <c r="G525" s="105"/>
      <c r="H525" s="105"/>
      <c r="I525" s="105"/>
      <c r="J525" s="105"/>
      <c r="K525" s="105"/>
      <c r="L525" s="105"/>
    </row>
    <row r="526" spans="2:14">
      <c r="B526" s="107"/>
      <c r="C526" s="105"/>
      <c r="D526" s="105"/>
      <c r="E526" s="105"/>
      <c r="F526" s="105"/>
      <c r="G526" s="105"/>
      <c r="H526" s="105"/>
      <c r="I526" s="105"/>
      <c r="J526" s="105"/>
      <c r="K526" s="105"/>
      <c r="L526" s="105"/>
    </row>
    <row r="527" spans="2:14">
      <c r="B527" s="107"/>
      <c r="C527" s="105"/>
      <c r="D527" s="105"/>
      <c r="E527" s="105"/>
      <c r="F527" s="105"/>
      <c r="G527" s="105"/>
      <c r="H527" s="105"/>
      <c r="I527" s="105"/>
      <c r="J527" s="105"/>
      <c r="K527" s="105"/>
      <c r="L527" s="105"/>
    </row>
    <row r="528" spans="2:14">
      <c r="B528" s="107"/>
      <c r="C528" s="105"/>
      <c r="D528" s="105"/>
      <c r="E528" s="105"/>
      <c r="F528" s="105"/>
      <c r="G528" s="105"/>
      <c r="H528" s="105"/>
      <c r="I528" s="105"/>
      <c r="J528" s="105"/>
      <c r="K528" s="105"/>
      <c r="L528" s="105"/>
    </row>
    <row r="529" spans="2:2" s="105" customFormat="1">
      <c r="B529" s="107"/>
    </row>
    <row r="530" spans="2:2" s="105" customFormat="1">
      <c r="B530" s="107"/>
    </row>
    <row r="531" spans="2:2" s="105" customFormat="1">
      <c r="B531" s="107"/>
    </row>
    <row r="532" spans="2:2" s="105" customFormat="1">
      <c r="B532" s="107"/>
    </row>
    <row r="533" spans="2:2" s="105" customFormat="1">
      <c r="B533" s="107"/>
    </row>
    <row r="534" spans="2:2" s="105" customFormat="1">
      <c r="B534" s="107"/>
    </row>
    <row r="535" spans="2:2" s="105" customFormat="1">
      <c r="B535" s="107"/>
    </row>
    <row r="536" spans="2:2" s="105" customFormat="1">
      <c r="B536" s="107"/>
    </row>
    <row r="537" spans="2:2" s="105" customFormat="1">
      <c r="B537" s="107"/>
    </row>
    <row r="538" spans="2:2" s="105" customFormat="1">
      <c r="B538" s="107"/>
    </row>
    <row r="539" spans="2:2" s="105" customFormat="1">
      <c r="B539" s="107"/>
    </row>
    <row r="540" spans="2:2" s="105" customFormat="1">
      <c r="B540" s="107"/>
    </row>
    <row r="541" spans="2:2" s="105" customFormat="1">
      <c r="B541" s="107"/>
    </row>
    <row r="542" spans="2:2" s="105" customFormat="1">
      <c r="B542" s="107"/>
    </row>
    <row r="543" spans="2:2" s="105" customFormat="1">
      <c r="B543" s="107"/>
    </row>
    <row r="544" spans="2:2" s="105" customFormat="1">
      <c r="B544" s="107"/>
    </row>
    <row r="545" spans="2:2" s="105" customFormat="1">
      <c r="B545" s="107"/>
    </row>
    <row r="546" spans="2:2" s="105" customFormat="1">
      <c r="B546" s="107"/>
    </row>
    <row r="547" spans="2:2" s="105" customFormat="1">
      <c r="B547" s="107"/>
    </row>
    <row r="548" spans="2:2" s="105" customFormat="1">
      <c r="B548" s="107"/>
    </row>
    <row r="549" spans="2:2" s="105" customFormat="1">
      <c r="B549" s="107"/>
    </row>
    <row r="550" spans="2:2" s="105" customFormat="1">
      <c r="B550" s="107"/>
    </row>
    <row r="551" spans="2:2" s="105" customFormat="1">
      <c r="B551" s="107"/>
    </row>
    <row r="552" spans="2:2" s="105" customFormat="1">
      <c r="B552" s="107"/>
    </row>
    <row r="553" spans="2:2" s="105" customFormat="1">
      <c r="B553" s="107"/>
    </row>
    <row r="554" spans="2:2" s="105" customFormat="1">
      <c r="B554" s="107"/>
    </row>
    <row r="555" spans="2:2" s="105" customFormat="1">
      <c r="B555" s="107"/>
    </row>
    <row r="556" spans="2:2" s="105" customFormat="1">
      <c r="B556" s="107"/>
    </row>
    <row r="557" spans="2:2" s="105" customFormat="1">
      <c r="B557" s="107"/>
    </row>
    <row r="558" spans="2:2" s="105" customFormat="1">
      <c r="B558" s="107"/>
    </row>
    <row r="559" spans="2:2" s="105" customFormat="1">
      <c r="B559" s="107"/>
    </row>
    <row r="560" spans="2:2" s="105" customFormat="1">
      <c r="B560" s="107"/>
    </row>
    <row r="561" spans="2:2" s="105" customFormat="1">
      <c r="B561" s="107"/>
    </row>
    <row r="562" spans="2:2" s="105" customFormat="1">
      <c r="B562" s="107"/>
    </row>
    <row r="563" spans="2:2" s="105" customFormat="1">
      <c r="B563" s="107"/>
    </row>
    <row r="564" spans="2:2" s="105" customFormat="1">
      <c r="B564" s="107"/>
    </row>
    <row r="565" spans="2:2" s="105" customFormat="1">
      <c r="B565" s="107"/>
    </row>
    <row r="566" spans="2:2" s="105" customFormat="1">
      <c r="B566" s="107"/>
    </row>
    <row r="567" spans="2:2" s="105" customFormat="1">
      <c r="B567" s="107"/>
    </row>
    <row r="568" spans="2:2" s="105" customFormat="1">
      <c r="B568" s="107"/>
    </row>
    <row r="569" spans="2:2" s="105" customFormat="1">
      <c r="B569" s="107"/>
    </row>
    <row r="570" spans="2:2" s="105" customFormat="1">
      <c r="B570" s="107"/>
    </row>
    <row r="571" spans="2:2" s="105" customFormat="1">
      <c r="B571" s="107"/>
    </row>
    <row r="572" spans="2:2" s="105" customFormat="1">
      <c r="B572" s="107"/>
    </row>
    <row r="573" spans="2:2" s="105" customFormat="1">
      <c r="B573" s="107"/>
    </row>
    <row r="574" spans="2:2" s="105" customFormat="1">
      <c r="B574" s="107"/>
    </row>
    <row r="575" spans="2:2" s="105" customFormat="1">
      <c r="B575" s="107"/>
    </row>
    <row r="576" spans="2:2" s="105" customFormat="1">
      <c r="B576" s="107"/>
    </row>
    <row r="577" spans="2:2" s="105" customFormat="1">
      <c r="B577" s="107"/>
    </row>
    <row r="578" spans="2:2" s="105" customFormat="1">
      <c r="B578" s="107"/>
    </row>
    <row r="579" spans="2:2" s="105" customFormat="1">
      <c r="B579" s="107"/>
    </row>
    <row r="580" spans="2:2" s="105" customFormat="1">
      <c r="B580" s="107"/>
    </row>
    <row r="581" spans="2:2" s="105" customFormat="1">
      <c r="B581" s="107"/>
    </row>
    <row r="582" spans="2:2" s="105" customFormat="1">
      <c r="B582" s="107"/>
    </row>
    <row r="583" spans="2:2" s="105" customFormat="1">
      <c r="B583" s="107"/>
    </row>
    <row r="584" spans="2:2" s="105" customFormat="1">
      <c r="B584" s="107"/>
    </row>
    <row r="585" spans="2:2" s="105" customFormat="1">
      <c r="B585" s="107"/>
    </row>
    <row r="586" spans="2:2" s="105" customFormat="1">
      <c r="B586" s="107"/>
    </row>
    <row r="587" spans="2:2" s="105" customFormat="1">
      <c r="B587" s="107"/>
    </row>
    <row r="588" spans="2:2" s="105" customFormat="1">
      <c r="B588" s="107"/>
    </row>
    <row r="589" spans="2:2" s="105" customFormat="1">
      <c r="B589" s="107"/>
    </row>
    <row r="590" spans="2:2" s="105" customFormat="1">
      <c r="B590" s="107"/>
    </row>
    <row r="591" spans="2:2" s="105" customFormat="1">
      <c r="B591" s="107"/>
    </row>
    <row r="592" spans="2:2" s="105" customFormat="1">
      <c r="B592" s="107"/>
    </row>
    <row r="593" spans="2:2" s="105" customFormat="1">
      <c r="B593" s="107"/>
    </row>
    <row r="594" spans="2:2" s="105" customFormat="1">
      <c r="B594" s="107"/>
    </row>
    <row r="595" spans="2:2" s="105" customFormat="1">
      <c r="B595" s="107"/>
    </row>
    <row r="596" spans="2:2" s="105" customFormat="1">
      <c r="B596" s="107"/>
    </row>
    <row r="597" spans="2:2" s="105" customFormat="1">
      <c r="B597" s="107"/>
    </row>
    <row r="598" spans="2:2" s="105" customFormat="1">
      <c r="B598" s="107"/>
    </row>
    <row r="599" spans="2:2" s="105" customFormat="1">
      <c r="B599" s="107"/>
    </row>
    <row r="600" spans="2:2" s="105" customFormat="1">
      <c r="B600" s="107"/>
    </row>
    <row r="601" spans="2:2" s="105" customFormat="1">
      <c r="B601" s="107"/>
    </row>
    <row r="602" spans="2:2" s="105" customFormat="1">
      <c r="B602" s="107"/>
    </row>
    <row r="603" spans="2:2" s="105" customFormat="1">
      <c r="B603" s="107"/>
    </row>
    <row r="604" spans="2:2" s="105" customFormat="1">
      <c r="B604" s="107"/>
    </row>
    <row r="605" spans="2:2" s="105" customFormat="1">
      <c r="B605" s="107"/>
    </row>
    <row r="606" spans="2:2" s="105" customFormat="1">
      <c r="B606" s="107"/>
    </row>
    <row r="607" spans="2:2" s="105" customFormat="1">
      <c r="B607" s="107"/>
    </row>
    <row r="608" spans="2:2" s="105" customFormat="1">
      <c r="B608" s="107"/>
    </row>
    <row r="609" spans="2:2" s="105" customFormat="1">
      <c r="B609" s="107"/>
    </row>
    <row r="610" spans="2:2" s="105" customFormat="1">
      <c r="B610" s="107"/>
    </row>
    <row r="611" spans="2:2" s="105" customFormat="1">
      <c r="B611" s="107"/>
    </row>
    <row r="612" spans="2:2" s="105" customFormat="1">
      <c r="B612" s="107"/>
    </row>
    <row r="613" spans="2:2" s="105" customFormat="1">
      <c r="B613" s="107"/>
    </row>
    <row r="614" spans="2:2" s="105" customFormat="1">
      <c r="B614" s="107"/>
    </row>
    <row r="615" spans="2:2" s="105" customFormat="1">
      <c r="B615" s="107"/>
    </row>
    <row r="616" spans="2:2" s="105" customFormat="1">
      <c r="B616" s="107"/>
    </row>
    <row r="617" spans="2:2" s="105" customFormat="1">
      <c r="B617" s="107"/>
    </row>
    <row r="618" spans="2:2" s="105" customFormat="1">
      <c r="B618" s="107"/>
    </row>
    <row r="619" spans="2:2" s="105" customFormat="1">
      <c r="B619" s="107"/>
    </row>
    <row r="620" spans="2:2" s="105" customFormat="1">
      <c r="B620" s="107"/>
    </row>
    <row r="621" spans="2:2" s="105" customFormat="1">
      <c r="B621" s="107"/>
    </row>
    <row r="622" spans="2:2" s="105" customFormat="1">
      <c r="B622" s="107"/>
    </row>
    <row r="623" spans="2:2" s="105" customFormat="1">
      <c r="B623" s="107"/>
    </row>
    <row r="624" spans="2:2" s="105" customFormat="1">
      <c r="B624" s="107"/>
    </row>
    <row r="625" spans="2:2" s="105" customFormat="1">
      <c r="B625" s="107"/>
    </row>
    <row r="626" spans="2:2" s="105" customFormat="1">
      <c r="B626" s="107"/>
    </row>
    <row r="627" spans="2:2" s="105" customFormat="1">
      <c r="B627" s="107"/>
    </row>
    <row r="628" spans="2:2" s="105" customFormat="1">
      <c r="B628" s="107"/>
    </row>
    <row r="629" spans="2:2" s="105" customFormat="1">
      <c r="B629" s="107"/>
    </row>
    <row r="630" spans="2:2" s="105" customFormat="1">
      <c r="B630" s="107"/>
    </row>
    <row r="631" spans="2:2" s="105" customFormat="1">
      <c r="B631" s="107"/>
    </row>
    <row r="632" spans="2:2" s="105" customFormat="1">
      <c r="B632" s="107"/>
    </row>
    <row r="633" spans="2:2" s="105" customFormat="1">
      <c r="B633" s="107"/>
    </row>
    <row r="634" spans="2:2" s="105" customFormat="1">
      <c r="B634" s="107"/>
    </row>
    <row r="635" spans="2:2" s="105" customFormat="1">
      <c r="B635" s="107"/>
    </row>
    <row r="636" spans="2:2" s="105" customFormat="1">
      <c r="B636" s="107"/>
    </row>
    <row r="637" spans="2:2" s="105" customFormat="1">
      <c r="B637" s="107"/>
    </row>
    <row r="638" spans="2:2" s="105" customFormat="1">
      <c r="B638" s="107"/>
    </row>
    <row r="639" spans="2:2" s="105" customFormat="1">
      <c r="B639" s="107"/>
    </row>
    <row r="640" spans="2:2" s="105" customFormat="1">
      <c r="B640" s="107"/>
    </row>
    <row r="641" spans="2:2" s="105" customFormat="1">
      <c r="B641" s="107"/>
    </row>
    <row r="642" spans="2:2" s="105" customFormat="1">
      <c r="B642" s="107"/>
    </row>
    <row r="643" spans="2:2" s="105" customFormat="1">
      <c r="B643" s="107"/>
    </row>
    <row r="644" spans="2:2" s="105" customFormat="1">
      <c r="B644" s="107"/>
    </row>
    <row r="645" spans="2:2" s="105" customFormat="1">
      <c r="B645" s="107"/>
    </row>
    <row r="646" spans="2:2" s="105" customFormat="1">
      <c r="B646" s="107"/>
    </row>
    <row r="647" spans="2:2" s="105" customFormat="1">
      <c r="B647" s="107"/>
    </row>
    <row r="648" spans="2:2" s="105" customFormat="1">
      <c r="B648" s="107"/>
    </row>
    <row r="649" spans="2:2" s="105" customFormat="1">
      <c r="B649" s="107"/>
    </row>
    <row r="650" spans="2:2" s="105" customFormat="1">
      <c r="B650" s="107"/>
    </row>
    <row r="651" spans="2:2" s="105" customFormat="1">
      <c r="B651" s="107"/>
    </row>
    <row r="652" spans="2:2" s="105" customFormat="1">
      <c r="B652" s="107"/>
    </row>
    <row r="653" spans="2:2" s="105" customFormat="1">
      <c r="B653" s="107"/>
    </row>
    <row r="654" spans="2:2" s="105" customFormat="1">
      <c r="B654" s="107"/>
    </row>
    <row r="655" spans="2:2" s="105" customFormat="1">
      <c r="B655" s="107"/>
    </row>
    <row r="656" spans="2:2" s="105" customFormat="1">
      <c r="B656" s="107"/>
    </row>
    <row r="657" spans="2:2" s="105" customFormat="1">
      <c r="B657" s="107"/>
    </row>
    <row r="658" spans="2:2" s="105" customFormat="1">
      <c r="B658" s="107"/>
    </row>
    <row r="659" spans="2:2" s="105" customFormat="1">
      <c r="B659" s="107"/>
    </row>
    <row r="660" spans="2:2" s="105" customFormat="1">
      <c r="B660" s="107"/>
    </row>
    <row r="661" spans="2:2" s="105" customFormat="1">
      <c r="B661" s="107"/>
    </row>
    <row r="662" spans="2:2" s="105" customFormat="1">
      <c r="B662" s="107"/>
    </row>
    <row r="663" spans="2:2" s="105" customFormat="1">
      <c r="B663" s="107"/>
    </row>
    <row r="664" spans="2:2" s="105" customFormat="1">
      <c r="B664" s="107"/>
    </row>
    <row r="665" spans="2:2" s="105" customFormat="1">
      <c r="B665" s="107"/>
    </row>
    <row r="666" spans="2:2" s="105" customFormat="1">
      <c r="B666" s="107"/>
    </row>
    <row r="667" spans="2:2" s="105" customFormat="1">
      <c r="B667" s="107"/>
    </row>
    <row r="668" spans="2:2" s="105" customFormat="1">
      <c r="B668" s="107"/>
    </row>
    <row r="669" spans="2:2" s="105" customFormat="1">
      <c r="B669" s="107"/>
    </row>
    <row r="670" spans="2:2" s="105" customFormat="1">
      <c r="B670" s="107"/>
    </row>
    <row r="671" spans="2:2" s="105" customFormat="1">
      <c r="B671" s="107"/>
    </row>
    <row r="672" spans="2:2" s="105" customFormat="1">
      <c r="B672" s="107"/>
    </row>
    <row r="673" spans="2:2" s="105" customFormat="1">
      <c r="B673" s="107"/>
    </row>
    <row r="674" spans="2:2" s="105" customFormat="1">
      <c r="B674" s="107"/>
    </row>
    <row r="675" spans="2:2" s="105" customFormat="1">
      <c r="B675" s="107"/>
    </row>
    <row r="676" spans="2:2" s="105" customFormat="1">
      <c r="B676" s="107"/>
    </row>
    <row r="677" spans="2:2" s="105" customFormat="1">
      <c r="B677" s="107"/>
    </row>
    <row r="678" spans="2:2" s="105" customFormat="1">
      <c r="B678" s="107"/>
    </row>
    <row r="679" spans="2:2" s="105" customFormat="1">
      <c r="B679" s="107"/>
    </row>
    <row r="680" spans="2:2" s="105" customFormat="1">
      <c r="B680" s="107"/>
    </row>
    <row r="681" spans="2:2" s="105" customFormat="1">
      <c r="B681" s="107"/>
    </row>
    <row r="682" spans="2:2" s="105" customFormat="1">
      <c r="B682" s="107"/>
    </row>
    <row r="683" spans="2:2" s="105" customFormat="1">
      <c r="B683" s="107"/>
    </row>
    <row r="684" spans="2:2" s="105" customFormat="1">
      <c r="B684" s="107"/>
    </row>
    <row r="685" spans="2:2" s="105" customFormat="1">
      <c r="B685" s="107"/>
    </row>
    <row r="686" spans="2:2" s="105" customFormat="1">
      <c r="B686" s="107"/>
    </row>
    <row r="687" spans="2:2" s="105" customFormat="1">
      <c r="B687" s="107"/>
    </row>
    <row r="688" spans="2:2" s="105" customFormat="1">
      <c r="B688" s="107"/>
    </row>
    <row r="689" spans="2:2" s="105" customFormat="1">
      <c r="B689" s="107"/>
    </row>
    <row r="690" spans="2:2" s="105" customFormat="1">
      <c r="B690" s="107"/>
    </row>
    <row r="691" spans="2:2" s="105" customFormat="1">
      <c r="B691" s="107"/>
    </row>
    <row r="692" spans="2:2" s="105" customFormat="1">
      <c r="B692" s="107"/>
    </row>
    <row r="693" spans="2:2" s="105" customFormat="1">
      <c r="B693" s="107"/>
    </row>
    <row r="694" spans="2:2" s="105" customFormat="1">
      <c r="B694" s="107"/>
    </row>
    <row r="695" spans="2:2" s="105" customFormat="1">
      <c r="B695" s="107"/>
    </row>
    <row r="696" spans="2:2" s="105" customFormat="1">
      <c r="B696" s="107"/>
    </row>
    <row r="697" spans="2:2" s="105" customFormat="1">
      <c r="B697" s="107"/>
    </row>
    <row r="698" spans="2:2" s="105" customFormat="1">
      <c r="B698" s="107"/>
    </row>
    <row r="699" spans="2:2" s="105" customFormat="1">
      <c r="B699" s="107"/>
    </row>
    <row r="700" spans="2:2" s="105" customFormat="1">
      <c r="B700" s="107"/>
    </row>
    <row r="701" spans="2:2" s="105" customFormat="1">
      <c r="B701" s="107"/>
    </row>
    <row r="702" spans="2:2" s="105" customFormat="1">
      <c r="B702" s="107"/>
    </row>
    <row r="703" spans="2:2" s="105" customFormat="1">
      <c r="B703" s="107"/>
    </row>
    <row r="704" spans="2:2" s="105" customFormat="1">
      <c r="B704" s="107"/>
    </row>
    <row r="705" spans="2:2" s="105" customFormat="1">
      <c r="B705" s="107"/>
    </row>
    <row r="706" spans="2:2" s="105" customFormat="1">
      <c r="B706" s="107"/>
    </row>
    <row r="707" spans="2:2" s="105" customFormat="1">
      <c r="B707" s="107"/>
    </row>
    <row r="708" spans="2:2" s="105" customFormat="1">
      <c r="B708" s="107"/>
    </row>
    <row r="709" spans="2:2" s="105" customFormat="1">
      <c r="B709" s="107"/>
    </row>
    <row r="710" spans="2:2" s="105" customFormat="1">
      <c r="B710" s="107"/>
    </row>
    <row r="711" spans="2:2" s="105" customFormat="1">
      <c r="B711" s="107"/>
    </row>
    <row r="712" spans="2:2" s="105" customFormat="1">
      <c r="B712" s="107"/>
    </row>
    <row r="713" spans="2:2" s="105" customFormat="1">
      <c r="B713" s="107"/>
    </row>
    <row r="714" spans="2:2" s="105" customFormat="1">
      <c r="B714" s="107"/>
    </row>
    <row r="715" spans="2:2" s="105" customFormat="1">
      <c r="B715" s="107"/>
    </row>
    <row r="716" spans="2:2" s="105" customFormat="1">
      <c r="B716" s="107"/>
    </row>
    <row r="717" spans="2:2" s="105" customFormat="1">
      <c r="B717" s="107"/>
    </row>
    <row r="718" spans="2:2" s="105" customFormat="1">
      <c r="B718" s="107"/>
    </row>
    <row r="719" spans="2:2" s="105" customFormat="1">
      <c r="B719" s="107"/>
    </row>
    <row r="720" spans="2:2" s="105" customFormat="1">
      <c r="B720" s="107"/>
    </row>
    <row r="721" spans="2:5" s="105" customFormat="1">
      <c r="B721" s="107"/>
    </row>
    <row r="722" spans="2:5" s="105" customFormat="1">
      <c r="B722" s="107"/>
    </row>
    <row r="723" spans="2:5" s="105" customFormat="1">
      <c r="B723" s="107"/>
    </row>
    <row r="724" spans="2:5" s="105" customFormat="1">
      <c r="B724" s="107"/>
    </row>
    <row r="725" spans="2:5" s="105" customFormat="1">
      <c r="B725" s="107"/>
    </row>
    <row r="726" spans="2:5" s="105" customFormat="1">
      <c r="B726" s="107"/>
    </row>
    <row r="727" spans="2:5" s="105" customFormat="1">
      <c r="B727" s="107"/>
    </row>
    <row r="728" spans="2:5" s="105" customFormat="1">
      <c r="B728" s="107"/>
    </row>
    <row r="729" spans="2:5" s="105" customFormat="1">
      <c r="B729" s="107"/>
    </row>
    <row r="730" spans="2:5" s="105" customFormat="1">
      <c r="B730" s="107"/>
    </row>
    <row r="731" spans="2:5" s="105" customFormat="1">
      <c r="B731" s="107"/>
      <c r="E731" s="105">
        <v>0</v>
      </c>
    </row>
    <row r="732" spans="2:5" s="105" customFormat="1">
      <c r="B732" s="107"/>
    </row>
    <row r="733" spans="2:5" s="105" customFormat="1">
      <c r="B733" s="107"/>
    </row>
    <row r="734" spans="2:5" s="105" customFormat="1">
      <c r="B734" s="107"/>
    </row>
    <row r="735" spans="2:5" s="105" customFormat="1">
      <c r="B735" s="107"/>
    </row>
    <row r="736" spans="2:5" s="105" customFormat="1">
      <c r="B736" s="107"/>
    </row>
    <row r="737" spans="2:2" s="105" customFormat="1">
      <c r="B737" s="107"/>
    </row>
    <row r="738" spans="2:2" s="105" customFormat="1">
      <c r="B738" s="107"/>
    </row>
    <row r="739" spans="2:2" s="105" customFormat="1">
      <c r="B739" s="107"/>
    </row>
    <row r="740" spans="2:2" s="105" customFormat="1">
      <c r="B740" s="107"/>
    </row>
    <row r="741" spans="2:2" s="105" customFormat="1">
      <c r="B741" s="107"/>
    </row>
    <row r="742" spans="2:2" s="105" customFormat="1">
      <c r="B742" s="107"/>
    </row>
    <row r="743" spans="2:2" s="105" customFormat="1">
      <c r="B743" s="107"/>
    </row>
    <row r="744" spans="2:2" s="105" customFormat="1">
      <c r="B744" s="107"/>
    </row>
    <row r="745" spans="2:2" s="105" customFormat="1">
      <c r="B745" s="107"/>
    </row>
    <row r="746" spans="2:2" s="105" customFormat="1">
      <c r="B746" s="107"/>
    </row>
    <row r="747" spans="2:2" s="105" customFormat="1">
      <c r="B747" s="107"/>
    </row>
    <row r="748" spans="2:2" s="105" customFormat="1">
      <c r="B748" s="107"/>
    </row>
    <row r="749" spans="2:2" s="105" customFormat="1">
      <c r="B749" s="107"/>
    </row>
    <row r="750" spans="2:2" s="105" customFormat="1">
      <c r="B750" s="107"/>
    </row>
    <row r="751" spans="2:2" s="105" customFormat="1">
      <c r="B751" s="107"/>
    </row>
    <row r="752" spans="2:2" s="105" customFormat="1">
      <c r="B752" s="107"/>
    </row>
    <row r="753" spans="2:2" s="105" customFormat="1">
      <c r="B753" s="107"/>
    </row>
    <row r="754" spans="2:2" s="105" customFormat="1">
      <c r="B754" s="107"/>
    </row>
    <row r="755" spans="2:2" s="105" customFormat="1">
      <c r="B755" s="107"/>
    </row>
    <row r="756" spans="2:2" s="105" customFormat="1">
      <c r="B756" s="107"/>
    </row>
    <row r="757" spans="2:2" s="105" customFormat="1">
      <c r="B757" s="107"/>
    </row>
    <row r="758" spans="2:2" s="105" customFormat="1">
      <c r="B758" s="107"/>
    </row>
    <row r="759" spans="2:2" s="105" customFormat="1">
      <c r="B759" s="107"/>
    </row>
    <row r="760" spans="2:2" s="105" customFormat="1">
      <c r="B760" s="107"/>
    </row>
    <row r="761" spans="2:2" s="105" customFormat="1">
      <c r="B761" s="107"/>
    </row>
    <row r="762" spans="2:2" s="105" customFormat="1">
      <c r="B762" s="107"/>
    </row>
    <row r="763" spans="2:2" s="105" customFormat="1">
      <c r="B763" s="107"/>
    </row>
    <row r="764" spans="2:2" s="105" customFormat="1">
      <c r="B764" s="107"/>
    </row>
    <row r="765" spans="2:2" s="105" customFormat="1">
      <c r="B765" s="107"/>
    </row>
    <row r="766" spans="2:2" s="105" customFormat="1">
      <c r="B766" s="107"/>
    </row>
    <row r="767" spans="2:2" s="105" customFormat="1">
      <c r="B767" s="107"/>
    </row>
    <row r="768" spans="2:2" s="105" customFormat="1">
      <c r="B768" s="107"/>
    </row>
    <row r="769" spans="2:2" s="105" customFormat="1">
      <c r="B769" s="107"/>
    </row>
    <row r="770" spans="2:2" s="105" customFormat="1">
      <c r="B770" s="107"/>
    </row>
    <row r="771" spans="2:2" s="105" customFormat="1">
      <c r="B771" s="107"/>
    </row>
    <row r="772" spans="2:2" s="105" customFormat="1">
      <c r="B772" s="107"/>
    </row>
    <row r="773" spans="2:2" s="105" customFormat="1">
      <c r="B773" s="107"/>
    </row>
    <row r="774" spans="2:2" s="105" customFormat="1">
      <c r="B774" s="107"/>
    </row>
    <row r="775" spans="2:2" s="105" customFormat="1">
      <c r="B775" s="107"/>
    </row>
    <row r="776" spans="2:2" s="105" customFormat="1">
      <c r="B776" s="107"/>
    </row>
    <row r="777" spans="2:2" s="105" customFormat="1">
      <c r="B777" s="107"/>
    </row>
    <row r="778" spans="2:2" s="105" customFormat="1">
      <c r="B778" s="107"/>
    </row>
    <row r="779" spans="2:2" s="105" customFormat="1">
      <c r="B779" s="107"/>
    </row>
    <row r="780" spans="2:2" s="105" customFormat="1">
      <c r="B780" s="107"/>
    </row>
    <row r="781" spans="2:2" s="105" customFormat="1">
      <c r="B781" s="107"/>
    </row>
    <row r="782" spans="2:2" s="105" customFormat="1">
      <c r="B782" s="107"/>
    </row>
    <row r="783" spans="2:2" s="105" customFormat="1">
      <c r="B783" s="107"/>
    </row>
    <row r="784" spans="2:2" s="105" customFormat="1">
      <c r="B784" s="107"/>
    </row>
    <row r="785" spans="2:2" s="105" customFormat="1">
      <c r="B785" s="107"/>
    </row>
    <row r="786" spans="2:2" s="105" customFormat="1">
      <c r="B786" s="107"/>
    </row>
    <row r="787" spans="2:2" s="105" customFormat="1">
      <c r="B787" s="107"/>
    </row>
    <row r="788" spans="2:2" s="105" customFormat="1">
      <c r="B788" s="107"/>
    </row>
    <row r="789" spans="2:2" s="105" customFormat="1">
      <c r="B789" s="107"/>
    </row>
    <row r="790" spans="2:2" s="105" customFormat="1">
      <c r="B790" s="107"/>
    </row>
    <row r="791" spans="2:2" s="105" customFormat="1">
      <c r="B791" s="107"/>
    </row>
    <row r="792" spans="2:2" s="105" customFormat="1">
      <c r="B792" s="107"/>
    </row>
    <row r="793" spans="2:2" s="105" customFormat="1">
      <c r="B793" s="107"/>
    </row>
    <row r="794" spans="2:2" s="105" customFormat="1">
      <c r="B794" s="107"/>
    </row>
    <row r="795" spans="2:2" s="105" customFormat="1">
      <c r="B795" s="107"/>
    </row>
    <row r="796" spans="2:2" s="105" customFormat="1">
      <c r="B796" s="107"/>
    </row>
    <row r="797" spans="2:2" s="105" customFormat="1">
      <c r="B797" s="107"/>
    </row>
    <row r="798" spans="2:2" s="105" customFormat="1">
      <c r="B798" s="107"/>
    </row>
    <row r="799" spans="2:2" s="105" customFormat="1">
      <c r="B799" s="107"/>
    </row>
    <row r="800" spans="2:2" s="105" customFormat="1">
      <c r="B800" s="107"/>
    </row>
    <row r="801" spans="2:2" s="105" customFormat="1">
      <c r="B801" s="107"/>
    </row>
    <row r="802" spans="2:2" s="105" customFormat="1">
      <c r="B802" s="107"/>
    </row>
    <row r="803" spans="2:2" s="105" customFormat="1">
      <c r="B803" s="107"/>
    </row>
    <row r="804" spans="2:2" s="105" customFormat="1">
      <c r="B804" s="107"/>
    </row>
    <row r="805" spans="2:2" s="105" customFormat="1">
      <c r="B805" s="107"/>
    </row>
    <row r="806" spans="2:2" s="105" customFormat="1">
      <c r="B806" s="107"/>
    </row>
    <row r="807" spans="2:2" s="105" customFormat="1">
      <c r="B807" s="107"/>
    </row>
    <row r="808" spans="2:2" s="105" customFormat="1">
      <c r="B808" s="107"/>
    </row>
    <row r="809" spans="2:2" s="105" customFormat="1">
      <c r="B809" s="107"/>
    </row>
    <row r="810" spans="2:2" s="105" customFormat="1">
      <c r="B810" s="107"/>
    </row>
    <row r="811" spans="2:2" s="105" customFormat="1">
      <c r="B811" s="107"/>
    </row>
    <row r="812" spans="2:2" s="105" customFormat="1">
      <c r="B812" s="107"/>
    </row>
    <row r="813" spans="2:2" s="105" customFormat="1">
      <c r="B813" s="107"/>
    </row>
    <row r="814" spans="2:2" s="105" customFormat="1">
      <c r="B814" s="107"/>
    </row>
    <row r="815" spans="2:2" s="105" customFormat="1">
      <c r="B815" s="107"/>
    </row>
    <row r="816" spans="2:2" s="105" customFormat="1">
      <c r="B816" s="107"/>
    </row>
    <row r="817" spans="2:2" s="105" customFormat="1">
      <c r="B817" s="107"/>
    </row>
    <row r="818" spans="2:2" s="105" customFormat="1">
      <c r="B818" s="107"/>
    </row>
    <row r="819" spans="2:2" s="105" customFormat="1">
      <c r="B819" s="107"/>
    </row>
    <row r="820" spans="2:2" s="105" customFormat="1">
      <c r="B820" s="107"/>
    </row>
    <row r="821" spans="2:2" s="105" customFormat="1">
      <c r="B821" s="107"/>
    </row>
    <row r="822" spans="2:2" s="105" customFormat="1">
      <c r="B822" s="107"/>
    </row>
    <row r="823" spans="2:2" s="105" customFormat="1">
      <c r="B823" s="107"/>
    </row>
    <row r="824" spans="2:2" s="105" customFormat="1">
      <c r="B824" s="107"/>
    </row>
    <row r="825" spans="2:2" s="105" customFormat="1">
      <c r="B825" s="107"/>
    </row>
    <row r="826" spans="2:2" s="105" customFormat="1">
      <c r="B826" s="107"/>
    </row>
    <row r="827" spans="2:2" s="105" customFormat="1">
      <c r="B827" s="107"/>
    </row>
    <row r="828" spans="2:2" s="105" customFormat="1">
      <c r="B828" s="107"/>
    </row>
    <row r="829" spans="2:2" s="105" customFormat="1">
      <c r="B829" s="107"/>
    </row>
    <row r="830" spans="2:2" s="105" customFormat="1">
      <c r="B830" s="107"/>
    </row>
    <row r="831" spans="2:2" s="105" customFormat="1">
      <c r="B831" s="107"/>
    </row>
    <row r="832" spans="2:2" s="105" customFormat="1">
      <c r="B832" s="107"/>
    </row>
    <row r="833" spans="2:2" s="105" customFormat="1">
      <c r="B833" s="107"/>
    </row>
    <row r="834" spans="2:2" s="105" customFormat="1">
      <c r="B834" s="107"/>
    </row>
    <row r="835" spans="2:2" s="105" customFormat="1">
      <c r="B835" s="107"/>
    </row>
    <row r="836" spans="2:2" s="105" customFormat="1">
      <c r="B836" s="107"/>
    </row>
    <row r="837" spans="2:2" s="105" customFormat="1">
      <c r="B837" s="107"/>
    </row>
    <row r="838" spans="2:2" s="105" customFormat="1">
      <c r="B838" s="107"/>
    </row>
    <row r="839" spans="2:2" s="105" customFormat="1">
      <c r="B839" s="107"/>
    </row>
    <row r="840" spans="2:2" s="105" customFormat="1">
      <c r="B840" s="107"/>
    </row>
    <row r="841" spans="2:2" s="105" customFormat="1">
      <c r="B841" s="107"/>
    </row>
    <row r="842" spans="2:2" s="105" customFormat="1">
      <c r="B842" s="107"/>
    </row>
    <row r="843" spans="2:2" s="105" customFormat="1">
      <c r="B843" s="107"/>
    </row>
    <row r="844" spans="2:2" s="105" customFormat="1">
      <c r="B844" s="107"/>
    </row>
    <row r="845" spans="2:2" s="105" customFormat="1">
      <c r="B845" s="107"/>
    </row>
    <row r="846" spans="2:2" s="105" customFormat="1">
      <c r="B846" s="107"/>
    </row>
    <row r="847" spans="2:2" s="105" customFormat="1">
      <c r="B847" s="107"/>
    </row>
    <row r="848" spans="2:2" s="105" customFormat="1">
      <c r="B848" s="107"/>
    </row>
    <row r="849" spans="2:2" s="105" customFormat="1">
      <c r="B849" s="107"/>
    </row>
    <row r="850" spans="2:2" s="105" customFormat="1">
      <c r="B850" s="107"/>
    </row>
    <row r="851" spans="2:2" s="105" customFormat="1">
      <c r="B851" s="107"/>
    </row>
    <row r="852" spans="2:2" s="105" customFormat="1">
      <c r="B852" s="107"/>
    </row>
    <row r="853" spans="2:2" s="105" customFormat="1">
      <c r="B853" s="107"/>
    </row>
    <row r="854" spans="2:2" s="105" customFormat="1">
      <c r="B854" s="107"/>
    </row>
    <row r="855" spans="2:2" s="105" customFormat="1">
      <c r="B855" s="107"/>
    </row>
    <row r="856" spans="2:2" s="105" customFormat="1">
      <c r="B856" s="107"/>
    </row>
    <row r="857" spans="2:2" s="105" customFormat="1">
      <c r="B857" s="107"/>
    </row>
    <row r="858" spans="2:2" s="105" customFormat="1">
      <c r="B858" s="107"/>
    </row>
    <row r="859" spans="2:2" s="105" customFormat="1">
      <c r="B859" s="107"/>
    </row>
    <row r="860" spans="2:2" s="105" customFormat="1">
      <c r="B860" s="107"/>
    </row>
    <row r="861" spans="2:2" s="105" customFormat="1">
      <c r="B861" s="107"/>
    </row>
    <row r="862" spans="2:2" s="105" customFormat="1">
      <c r="B862" s="107"/>
    </row>
    <row r="863" spans="2:2" s="105" customFormat="1">
      <c r="B863" s="107"/>
    </row>
    <row r="864" spans="2:2" s="105" customFormat="1">
      <c r="B864" s="107"/>
    </row>
    <row r="865" spans="2:2" s="105" customFormat="1">
      <c r="B865" s="107"/>
    </row>
    <row r="866" spans="2:2" s="105" customFormat="1">
      <c r="B866" s="107"/>
    </row>
    <row r="867" spans="2:2" s="105" customFormat="1">
      <c r="B867" s="107"/>
    </row>
    <row r="868" spans="2:2" s="105" customFormat="1">
      <c r="B868" s="107"/>
    </row>
    <row r="869" spans="2:2" s="105" customFormat="1">
      <c r="B869" s="107"/>
    </row>
    <row r="870" spans="2:2" s="105" customFormat="1">
      <c r="B870" s="107"/>
    </row>
    <row r="871" spans="2:2" s="105" customFormat="1">
      <c r="B871" s="107"/>
    </row>
    <row r="872" spans="2:2" s="105" customFormat="1">
      <c r="B872" s="107"/>
    </row>
    <row r="873" spans="2:2" s="105" customFormat="1">
      <c r="B873" s="107"/>
    </row>
    <row r="874" spans="2:2" s="105" customFormat="1">
      <c r="B874" s="107"/>
    </row>
    <row r="875" spans="2:2" s="105" customFormat="1">
      <c r="B875" s="107"/>
    </row>
    <row r="876" spans="2:2" s="105" customFormat="1">
      <c r="B876" s="107"/>
    </row>
    <row r="877" spans="2:2" s="105" customFormat="1">
      <c r="B877" s="107"/>
    </row>
    <row r="878" spans="2:2" s="105" customFormat="1">
      <c r="B878" s="107"/>
    </row>
    <row r="879" spans="2:2" s="105" customFormat="1">
      <c r="B879" s="107"/>
    </row>
    <row r="880" spans="2:2" s="105" customFormat="1">
      <c r="B880" s="107"/>
    </row>
    <row r="881" spans="2:2" s="105" customFormat="1">
      <c r="B881" s="107"/>
    </row>
    <row r="882" spans="2:2" s="105" customFormat="1">
      <c r="B882" s="107"/>
    </row>
    <row r="883" spans="2:2" s="105" customFormat="1">
      <c r="B883" s="107"/>
    </row>
    <row r="884" spans="2:2" s="105" customFormat="1">
      <c r="B884" s="107"/>
    </row>
    <row r="885" spans="2:2" s="105" customFormat="1">
      <c r="B885" s="107"/>
    </row>
    <row r="886" spans="2:2" s="105" customFormat="1">
      <c r="B886" s="107"/>
    </row>
    <row r="887" spans="2:2" s="105" customFormat="1">
      <c r="B887" s="107"/>
    </row>
    <row r="888" spans="2:2" s="105" customFormat="1">
      <c r="B888" s="107"/>
    </row>
    <row r="889" spans="2:2" s="105" customFormat="1">
      <c r="B889" s="107"/>
    </row>
    <row r="890" spans="2:2" s="105" customFormat="1">
      <c r="B890" s="107"/>
    </row>
    <row r="891" spans="2:2" s="105" customFormat="1">
      <c r="B891" s="107"/>
    </row>
    <row r="892" spans="2:2" s="105" customFormat="1">
      <c r="B892" s="107"/>
    </row>
    <row r="893" spans="2:2" s="105" customFormat="1">
      <c r="B893" s="107"/>
    </row>
    <row r="894" spans="2:2" s="105" customFormat="1">
      <c r="B894" s="107"/>
    </row>
    <row r="895" spans="2:2" s="105" customFormat="1">
      <c r="B895" s="107"/>
    </row>
    <row r="896" spans="2:2" s="105" customFormat="1">
      <c r="B896" s="107"/>
    </row>
    <row r="897" spans="2:2" s="105" customFormat="1">
      <c r="B897" s="107"/>
    </row>
    <row r="898" spans="2:2" s="105" customFormat="1">
      <c r="B898" s="107"/>
    </row>
    <row r="899" spans="2:2" s="105" customFormat="1">
      <c r="B899" s="107"/>
    </row>
    <row r="900" spans="2:2" s="105" customFormat="1">
      <c r="B900" s="107"/>
    </row>
    <row r="901" spans="2:2" s="105" customFormat="1">
      <c r="B901" s="107"/>
    </row>
    <row r="902" spans="2:2" s="105" customFormat="1">
      <c r="B902" s="107"/>
    </row>
    <row r="903" spans="2:2" s="105" customFormat="1">
      <c r="B903" s="107"/>
    </row>
    <row r="904" spans="2:2" s="105" customFormat="1">
      <c r="B904" s="107"/>
    </row>
    <row r="905" spans="2:2" s="105" customFormat="1">
      <c r="B905" s="107"/>
    </row>
    <row r="906" spans="2:2" s="105" customFormat="1">
      <c r="B906" s="107"/>
    </row>
    <row r="907" spans="2:2" s="105" customFormat="1">
      <c r="B907" s="107"/>
    </row>
    <row r="908" spans="2:2" s="105" customFormat="1">
      <c r="B908" s="107"/>
    </row>
    <row r="909" spans="2:2" s="105" customFormat="1">
      <c r="B909" s="107"/>
    </row>
    <row r="910" spans="2:2" s="105" customFormat="1">
      <c r="B910" s="107"/>
    </row>
    <row r="911" spans="2:2" s="105" customFormat="1">
      <c r="B911" s="107"/>
    </row>
    <row r="912" spans="2:2" s="105" customFormat="1">
      <c r="B912" s="107"/>
    </row>
    <row r="913" spans="2:2" s="105" customFormat="1">
      <c r="B913" s="107"/>
    </row>
    <row r="914" spans="2:2" s="105" customFormat="1">
      <c r="B914" s="107"/>
    </row>
    <row r="915" spans="2:2" s="105" customFormat="1">
      <c r="B915" s="107"/>
    </row>
    <row r="916" spans="2:2" s="105" customFormat="1">
      <c r="B916" s="107"/>
    </row>
    <row r="917" spans="2:2" s="105" customFormat="1">
      <c r="B917" s="107"/>
    </row>
    <row r="918" spans="2:2" s="105" customFormat="1">
      <c r="B918" s="107"/>
    </row>
    <row r="919" spans="2:2" s="105" customFormat="1">
      <c r="B919" s="107"/>
    </row>
    <row r="920" spans="2:2" s="105" customFormat="1">
      <c r="B920" s="107"/>
    </row>
    <row r="921" spans="2:2" s="105" customFormat="1">
      <c r="B921" s="107"/>
    </row>
    <row r="922" spans="2:2" s="105" customFormat="1">
      <c r="B922" s="107"/>
    </row>
    <row r="923" spans="2:2" s="105" customFormat="1">
      <c r="B923" s="107"/>
    </row>
    <row r="924" spans="2:2" s="105" customFormat="1">
      <c r="B924" s="107"/>
    </row>
    <row r="925" spans="2:2" s="105" customFormat="1">
      <c r="B925" s="107"/>
    </row>
    <row r="926" spans="2:2" s="105" customFormat="1">
      <c r="B926" s="107"/>
    </row>
    <row r="927" spans="2:2" s="105" customFormat="1">
      <c r="B927" s="107"/>
    </row>
    <row r="928" spans="2:2" s="105" customFormat="1">
      <c r="B928" s="107"/>
    </row>
    <row r="929" spans="2:2" s="105" customFormat="1">
      <c r="B929" s="107"/>
    </row>
    <row r="930" spans="2:2" s="105" customFormat="1">
      <c r="B930" s="107"/>
    </row>
    <row r="931" spans="2:2" s="105" customFormat="1">
      <c r="B931" s="107"/>
    </row>
    <row r="932" spans="2:2" s="105" customFormat="1">
      <c r="B932" s="107"/>
    </row>
    <row r="933" spans="2:2" s="105" customFormat="1">
      <c r="B933" s="107"/>
    </row>
    <row r="934" spans="2:2" s="105" customFormat="1">
      <c r="B934" s="107"/>
    </row>
    <row r="935" spans="2:2" s="105" customFormat="1">
      <c r="B935" s="107"/>
    </row>
    <row r="936" spans="2:2" s="105" customFormat="1">
      <c r="B936" s="107"/>
    </row>
    <row r="937" spans="2:2" s="105" customFormat="1">
      <c r="B937" s="107"/>
    </row>
    <row r="938" spans="2:2" s="105" customFormat="1">
      <c r="B938" s="107"/>
    </row>
    <row r="939" spans="2:2" s="105" customFormat="1">
      <c r="B939" s="107"/>
    </row>
    <row r="940" spans="2:2" s="105" customFormat="1">
      <c r="B940" s="107"/>
    </row>
    <row r="941" spans="2:2" s="105" customFormat="1">
      <c r="B941" s="107"/>
    </row>
    <row r="942" spans="2:2" s="105" customFormat="1">
      <c r="B942" s="107"/>
    </row>
    <row r="943" spans="2:2" s="105" customFormat="1">
      <c r="B943" s="107"/>
    </row>
    <row r="944" spans="2:2" s="105" customFormat="1">
      <c r="B944" s="107"/>
    </row>
    <row r="945" spans="2:2" s="105" customFormat="1">
      <c r="B945" s="107"/>
    </row>
    <row r="946" spans="2:2" s="105" customFormat="1">
      <c r="B946" s="107"/>
    </row>
    <row r="947" spans="2:2" s="105" customFormat="1">
      <c r="B947" s="107"/>
    </row>
    <row r="948" spans="2:2" s="105" customFormat="1">
      <c r="B948" s="107"/>
    </row>
    <row r="949" spans="2:2" s="105" customFormat="1">
      <c r="B949" s="107"/>
    </row>
    <row r="950" spans="2:2" s="105" customFormat="1">
      <c r="B950" s="107"/>
    </row>
    <row r="951" spans="2:2" s="105" customFormat="1">
      <c r="B951" s="107"/>
    </row>
    <row r="952" spans="2:2" s="105" customFormat="1">
      <c r="B952" s="107"/>
    </row>
    <row r="953" spans="2:2" s="105" customFormat="1">
      <c r="B953" s="107"/>
    </row>
    <row r="954" spans="2:2" s="105" customFormat="1">
      <c r="B954" s="107"/>
    </row>
    <row r="955" spans="2:2" s="105" customFormat="1">
      <c r="B955" s="107"/>
    </row>
    <row r="956" spans="2:2" s="105" customFormat="1">
      <c r="B956" s="107"/>
    </row>
    <row r="957" spans="2:2" s="105" customFormat="1">
      <c r="B957" s="107"/>
    </row>
    <row r="958" spans="2:2" s="105" customFormat="1">
      <c r="B958" s="107"/>
    </row>
    <row r="959" spans="2:2" s="105" customFormat="1">
      <c r="B959" s="107"/>
    </row>
    <row r="960" spans="2:2" s="105" customFormat="1">
      <c r="B960" s="107"/>
    </row>
    <row r="961" spans="2:2" s="105" customFormat="1">
      <c r="B961" s="107"/>
    </row>
    <row r="962" spans="2:2" s="105" customFormat="1">
      <c r="B962" s="107"/>
    </row>
    <row r="963" spans="2:2" s="105" customFormat="1">
      <c r="B963" s="107"/>
    </row>
    <row r="964" spans="2:2" s="105" customFormat="1">
      <c r="B964" s="107"/>
    </row>
    <row r="965" spans="2:2" s="105" customFormat="1">
      <c r="B965" s="107"/>
    </row>
    <row r="966" spans="2:2" s="105" customFormat="1">
      <c r="B966" s="107"/>
    </row>
    <row r="967" spans="2:2" s="105" customFormat="1">
      <c r="B967" s="107"/>
    </row>
    <row r="968" spans="2:2" s="105" customFormat="1">
      <c r="B968" s="107"/>
    </row>
    <row r="969" spans="2:2" s="105" customFormat="1">
      <c r="B969" s="107"/>
    </row>
    <row r="970" spans="2:2" s="105" customFormat="1">
      <c r="B970" s="107"/>
    </row>
    <row r="971" spans="2:2" s="105" customFormat="1">
      <c r="B971" s="107"/>
    </row>
    <row r="972" spans="2:2" s="105" customFormat="1">
      <c r="B972" s="107"/>
    </row>
    <row r="973" spans="2:2" s="105" customFormat="1">
      <c r="B973" s="107"/>
    </row>
    <row r="974" spans="2:2" s="105" customFormat="1">
      <c r="B974" s="107"/>
    </row>
    <row r="975" spans="2:2" s="105" customFormat="1">
      <c r="B975" s="107"/>
    </row>
    <row r="976" spans="2:2" s="105" customFormat="1">
      <c r="B976" s="107"/>
    </row>
    <row r="977" spans="2:2" s="105" customFormat="1">
      <c r="B977" s="107"/>
    </row>
    <row r="978" spans="2:2" s="105" customFormat="1">
      <c r="B978" s="107"/>
    </row>
    <row r="979" spans="2:2" s="105" customFormat="1">
      <c r="B979" s="107"/>
    </row>
    <row r="980" spans="2:2" s="105" customFormat="1">
      <c r="B980" s="107"/>
    </row>
    <row r="981" spans="2:2" s="105" customFormat="1">
      <c r="B981" s="107"/>
    </row>
    <row r="982" spans="2:2" s="105" customFormat="1">
      <c r="B982" s="107"/>
    </row>
    <row r="983" spans="2:2" s="105" customFormat="1">
      <c r="B983" s="107"/>
    </row>
    <row r="984" spans="2:2" s="105" customFormat="1">
      <c r="B984" s="107"/>
    </row>
    <row r="985" spans="2:2" s="105" customFormat="1">
      <c r="B985" s="107"/>
    </row>
    <row r="986" spans="2:2" s="105" customFormat="1">
      <c r="B986" s="107"/>
    </row>
    <row r="987" spans="2:2" s="105" customFormat="1">
      <c r="B987" s="107"/>
    </row>
    <row r="988" spans="2:2" s="105" customFormat="1">
      <c r="B988" s="107"/>
    </row>
    <row r="989" spans="2:2" s="105" customFormat="1">
      <c r="B989" s="107"/>
    </row>
    <row r="990" spans="2:2" s="105" customFormat="1">
      <c r="B990" s="107"/>
    </row>
    <row r="991" spans="2:2" s="105" customFormat="1">
      <c r="B991" s="107"/>
    </row>
    <row r="992" spans="2:2" s="105" customFormat="1">
      <c r="B992" s="107"/>
    </row>
    <row r="993" spans="2:2" s="105" customFormat="1">
      <c r="B993" s="107"/>
    </row>
    <row r="994" spans="2:2" s="105" customFormat="1">
      <c r="B994" s="107"/>
    </row>
    <row r="995" spans="2:2" s="105" customFormat="1">
      <c r="B995" s="107"/>
    </row>
    <row r="996" spans="2:2" s="105" customFormat="1">
      <c r="B996" s="107"/>
    </row>
    <row r="997" spans="2:2" s="105" customFormat="1">
      <c r="B997" s="107"/>
    </row>
    <row r="998" spans="2:2" s="105" customFormat="1">
      <c r="B998" s="107"/>
    </row>
    <row r="999" spans="2:2" s="105" customFormat="1">
      <c r="B999" s="107"/>
    </row>
    <row r="1000" spans="2:2" s="105" customFormat="1">
      <c r="B1000" s="107"/>
    </row>
    <row r="1001" spans="2:2" s="105" customFormat="1">
      <c r="B1001" s="107"/>
    </row>
    <row r="1002" spans="2:2" s="105" customFormat="1">
      <c r="B1002" s="107"/>
    </row>
    <row r="1003" spans="2:2" s="105" customFormat="1">
      <c r="B1003" s="107"/>
    </row>
    <row r="1004" spans="2:2" s="105" customFormat="1">
      <c r="B1004" s="107"/>
    </row>
    <row r="1005" spans="2:2" s="105" customFormat="1">
      <c r="B1005" s="107"/>
    </row>
    <row r="1006" spans="2:2" s="105" customFormat="1">
      <c r="B1006" s="107"/>
    </row>
    <row r="1007" spans="2:2" s="105" customFormat="1">
      <c r="B1007" s="107"/>
    </row>
    <row r="1008" spans="2:2" s="105" customFormat="1">
      <c r="B1008" s="107"/>
    </row>
    <row r="1009" spans="2:2" s="105" customFormat="1">
      <c r="B1009" s="107"/>
    </row>
    <row r="1010" spans="2:2" s="105" customFormat="1">
      <c r="B1010" s="107"/>
    </row>
    <row r="1011" spans="2:2" s="105" customFormat="1">
      <c r="B1011" s="107"/>
    </row>
    <row r="1012" spans="2:2" s="105" customFormat="1">
      <c r="B1012" s="107"/>
    </row>
    <row r="1013" spans="2:2" s="105" customFormat="1">
      <c r="B1013" s="107"/>
    </row>
    <row r="1014" spans="2:2" s="105" customFormat="1">
      <c r="B1014" s="107"/>
    </row>
    <row r="1015" spans="2:2" s="105" customFormat="1">
      <c r="B1015" s="107"/>
    </row>
    <row r="1016" spans="2:2" s="105" customFormat="1">
      <c r="B1016" s="107"/>
    </row>
    <row r="1017" spans="2:2" s="105" customFormat="1">
      <c r="B1017" s="107"/>
    </row>
    <row r="1018" spans="2:2" s="105" customFormat="1">
      <c r="B1018" s="107"/>
    </row>
    <row r="1019" spans="2:2" s="105" customFormat="1">
      <c r="B1019" s="107"/>
    </row>
    <row r="1020" spans="2:2" s="105" customFormat="1">
      <c r="B1020" s="107"/>
    </row>
    <row r="1021" spans="2:2" s="105" customFormat="1">
      <c r="B1021" s="107"/>
    </row>
    <row r="1022" spans="2:2" s="105" customFormat="1">
      <c r="B1022" s="107"/>
    </row>
    <row r="1023" spans="2:2" s="105" customFormat="1">
      <c r="B1023" s="107"/>
    </row>
    <row r="1024" spans="2:2" s="105" customFormat="1">
      <c r="B1024" s="107"/>
    </row>
    <row r="1025" spans="2:2" s="105" customFormat="1">
      <c r="B1025" s="107"/>
    </row>
    <row r="1026" spans="2:2" s="105" customFormat="1">
      <c r="B1026" s="107"/>
    </row>
    <row r="1027" spans="2:2" s="105" customFormat="1">
      <c r="B1027" s="107"/>
    </row>
    <row r="1028" spans="2:2" s="105" customFormat="1">
      <c r="B1028" s="107"/>
    </row>
    <row r="1029" spans="2:2" s="105" customFormat="1">
      <c r="B1029" s="107"/>
    </row>
    <row r="1030" spans="2:2" s="105" customFormat="1">
      <c r="B1030" s="107"/>
    </row>
    <row r="1031" spans="2:2" s="105" customFormat="1">
      <c r="B1031" s="107"/>
    </row>
    <row r="1032" spans="2:2" s="105" customFormat="1">
      <c r="B1032" s="107"/>
    </row>
    <row r="1033" spans="2:2" s="105" customFormat="1">
      <c r="B1033" s="107"/>
    </row>
    <row r="1034" spans="2:2" s="105" customFormat="1">
      <c r="B1034" s="107"/>
    </row>
    <row r="1035" spans="2:2" s="105" customFormat="1">
      <c r="B1035" s="107"/>
    </row>
    <row r="1036" spans="2:2" s="105" customFormat="1">
      <c r="B1036" s="107"/>
    </row>
    <row r="1037" spans="2:2" s="105" customFormat="1">
      <c r="B1037" s="107"/>
    </row>
    <row r="1038" spans="2:2" s="105" customFormat="1">
      <c r="B1038" s="107"/>
    </row>
    <row r="1039" spans="2:2" s="105" customFormat="1">
      <c r="B1039" s="107"/>
    </row>
    <row r="1040" spans="2:2" s="105" customFormat="1">
      <c r="B1040" s="107"/>
    </row>
    <row r="1041" spans="2:2" s="105" customFormat="1">
      <c r="B1041" s="107"/>
    </row>
    <row r="1042" spans="2:2" s="105" customFormat="1">
      <c r="B1042" s="107"/>
    </row>
    <row r="1043" spans="2:2" s="105" customFormat="1">
      <c r="B1043" s="107"/>
    </row>
    <row r="1044" spans="2:2" s="105" customFormat="1">
      <c r="B1044" s="107"/>
    </row>
    <row r="1045" spans="2:2" s="105" customFormat="1">
      <c r="B1045" s="107"/>
    </row>
    <row r="1046" spans="2:2" s="105" customFormat="1">
      <c r="B1046" s="107"/>
    </row>
    <row r="1047" spans="2:2" s="105" customFormat="1">
      <c r="B1047" s="107"/>
    </row>
    <row r="1048" spans="2:2" s="105" customFormat="1">
      <c r="B1048" s="107"/>
    </row>
    <row r="1049" spans="2:2" s="105" customFormat="1">
      <c r="B1049" s="107"/>
    </row>
    <row r="1050" spans="2:2" s="105" customFormat="1">
      <c r="B1050" s="107"/>
    </row>
    <row r="1051" spans="2:2" s="105" customFormat="1">
      <c r="B1051" s="107"/>
    </row>
    <row r="1052" spans="2:2" s="105" customFormat="1">
      <c r="B1052" s="107"/>
    </row>
    <row r="1053" spans="2:2" s="105" customFormat="1">
      <c r="B1053" s="107"/>
    </row>
    <row r="1054" spans="2:2" s="105" customFormat="1">
      <c r="B1054" s="107"/>
    </row>
    <row r="1055" spans="2:2" s="105" customFormat="1">
      <c r="B1055" s="107"/>
    </row>
    <row r="1056" spans="2:2" s="105" customFormat="1">
      <c r="B1056" s="107"/>
    </row>
    <row r="1057" spans="2:2" s="105" customFormat="1">
      <c r="B1057" s="107"/>
    </row>
    <row r="1058" spans="2:2" s="105" customFormat="1">
      <c r="B1058" s="107"/>
    </row>
    <row r="1059" spans="2:2" s="105" customFormat="1">
      <c r="B1059" s="107"/>
    </row>
    <row r="1060" spans="2:2" s="105" customFormat="1">
      <c r="B1060" s="107"/>
    </row>
    <row r="1061" spans="2:2" s="105" customFormat="1">
      <c r="B1061" s="107"/>
    </row>
    <row r="1062" spans="2:2" s="105" customFormat="1">
      <c r="B1062" s="107"/>
    </row>
    <row r="1063" spans="2:2" s="105" customFormat="1">
      <c r="B1063" s="107"/>
    </row>
    <row r="1064" spans="2:2" s="105" customFormat="1">
      <c r="B1064" s="107"/>
    </row>
    <row r="1065" spans="2:2" s="105" customFormat="1">
      <c r="B1065" s="107"/>
    </row>
    <row r="1066" spans="2:2" s="105" customFormat="1">
      <c r="B1066" s="107"/>
    </row>
    <row r="1067" spans="2:2" s="105" customFormat="1">
      <c r="B1067" s="107"/>
    </row>
    <row r="1068" spans="2:2" s="105" customFormat="1">
      <c r="B1068" s="107"/>
    </row>
    <row r="1069" spans="2:2" s="105" customFormat="1">
      <c r="B1069" s="107"/>
    </row>
    <row r="1070" spans="2:2" s="105" customFormat="1">
      <c r="B1070" s="107"/>
    </row>
    <row r="1071" spans="2:2" s="105" customFormat="1">
      <c r="B1071" s="107"/>
    </row>
    <row r="1072" spans="2:2" s="105" customFormat="1">
      <c r="B1072" s="107"/>
    </row>
    <row r="1073" spans="2:2" s="105" customFormat="1">
      <c r="B1073" s="107"/>
    </row>
    <row r="1074" spans="2:2" s="105" customFormat="1">
      <c r="B1074" s="107"/>
    </row>
    <row r="1075" spans="2:2" s="105" customFormat="1">
      <c r="B1075" s="107"/>
    </row>
    <row r="1076" spans="2:2" s="105" customFormat="1">
      <c r="B1076" s="107"/>
    </row>
    <row r="1077" spans="2:2" s="105" customFormat="1">
      <c r="B1077" s="107"/>
    </row>
    <row r="1078" spans="2:2" s="105" customFormat="1">
      <c r="B1078" s="107"/>
    </row>
    <row r="1079" spans="2:2" s="105" customFormat="1">
      <c r="B1079" s="107"/>
    </row>
    <row r="1080" spans="2:2" s="105" customFormat="1">
      <c r="B1080" s="107"/>
    </row>
    <row r="1081" spans="2:2" s="105" customFormat="1">
      <c r="B1081" s="107"/>
    </row>
    <row r="1082" spans="2:2" s="105" customFormat="1">
      <c r="B1082" s="107"/>
    </row>
    <row r="1083" spans="2:2" s="105" customFormat="1">
      <c r="B1083" s="107"/>
    </row>
    <row r="1084" spans="2:2" s="105" customFormat="1">
      <c r="B1084" s="107"/>
    </row>
    <row r="1085" spans="2:2" s="105" customFormat="1">
      <c r="B1085" s="107"/>
    </row>
    <row r="1086" spans="2:2" s="105" customFormat="1">
      <c r="B1086" s="107"/>
    </row>
    <row r="1087" spans="2:2" s="105" customFormat="1">
      <c r="B1087" s="107"/>
    </row>
    <row r="1088" spans="2:2" s="105" customFormat="1">
      <c r="B1088" s="107"/>
    </row>
    <row r="1089" spans="2:2" s="105" customFormat="1">
      <c r="B1089" s="107"/>
    </row>
    <row r="1090" spans="2:2" s="105" customFormat="1">
      <c r="B1090" s="107"/>
    </row>
    <row r="1091" spans="2:2" s="105" customFormat="1">
      <c r="B1091" s="107"/>
    </row>
    <row r="1092" spans="2:2" s="105" customFormat="1">
      <c r="B1092" s="107"/>
    </row>
    <row r="1093" spans="2:2" s="105" customFormat="1">
      <c r="B1093" s="107"/>
    </row>
    <row r="1094" spans="2:2" s="105" customFormat="1">
      <c r="B1094" s="107"/>
    </row>
    <row r="1095" spans="2:2" s="105" customFormat="1">
      <c r="B1095" s="107"/>
    </row>
    <row r="1096" spans="2:2" s="105" customFormat="1">
      <c r="B1096" s="107"/>
    </row>
    <row r="1097" spans="2:2" s="105" customFormat="1">
      <c r="B1097" s="107"/>
    </row>
    <row r="1098" spans="2:2" s="105" customFormat="1">
      <c r="B1098" s="107"/>
    </row>
    <row r="1099" spans="2:2" s="105" customFormat="1">
      <c r="B1099" s="107"/>
    </row>
    <row r="1100" spans="2:2" s="105" customFormat="1">
      <c r="B1100" s="107"/>
    </row>
    <row r="1101" spans="2:2" s="105" customFormat="1">
      <c r="B1101" s="107"/>
    </row>
    <row r="1102" spans="2:2" s="105" customFormat="1">
      <c r="B1102" s="107"/>
    </row>
    <row r="1103" spans="2:2" s="105" customFormat="1">
      <c r="B1103" s="107"/>
    </row>
    <row r="1104" spans="2:2" s="105" customFormat="1">
      <c r="B1104" s="107"/>
    </row>
    <row r="1105" spans="2:2" s="105" customFormat="1">
      <c r="B1105" s="107"/>
    </row>
    <row r="1106" spans="2:2" s="105" customFormat="1">
      <c r="B1106" s="107"/>
    </row>
    <row r="1107" spans="2:2" s="105" customFormat="1">
      <c r="B1107" s="107"/>
    </row>
    <row r="1108" spans="2:2" s="105" customFormat="1">
      <c r="B1108" s="107"/>
    </row>
    <row r="1109" spans="2:2" s="105" customFormat="1">
      <c r="B1109" s="107"/>
    </row>
    <row r="1110" spans="2:2" s="105" customFormat="1">
      <c r="B1110" s="107"/>
    </row>
    <row r="1111" spans="2:2" s="105" customFormat="1">
      <c r="B1111" s="107"/>
    </row>
    <row r="1112" spans="2:2" s="105" customFormat="1">
      <c r="B1112" s="107"/>
    </row>
    <row r="1113" spans="2:2" s="105" customFormat="1">
      <c r="B1113" s="107"/>
    </row>
    <row r="1114" spans="2:2" s="105" customFormat="1">
      <c r="B1114" s="107"/>
    </row>
    <row r="1115" spans="2:2" s="105" customFormat="1">
      <c r="B1115" s="107"/>
    </row>
    <row r="1116" spans="2:2" s="105" customFormat="1">
      <c r="B1116" s="107"/>
    </row>
    <row r="1117" spans="2:2" s="105" customFormat="1">
      <c r="B1117" s="107"/>
    </row>
    <row r="1118" spans="2:2" s="105" customFormat="1">
      <c r="B1118" s="107"/>
    </row>
    <row r="1119" spans="2:2" s="105" customFormat="1">
      <c r="B1119" s="107"/>
    </row>
    <row r="1120" spans="2:2" s="105" customFormat="1">
      <c r="B1120" s="107"/>
    </row>
    <row r="1121" spans="2:2" s="105" customFormat="1">
      <c r="B1121" s="107"/>
    </row>
    <row r="1122" spans="2:2" s="105" customFormat="1">
      <c r="B1122" s="107"/>
    </row>
    <row r="1123" spans="2:2" s="105" customFormat="1">
      <c r="B1123" s="107"/>
    </row>
    <row r="1124" spans="2:2" s="105" customFormat="1">
      <c r="B1124" s="107"/>
    </row>
    <row r="1125" spans="2:2" s="105" customFormat="1">
      <c r="B1125" s="107"/>
    </row>
    <row r="1126" spans="2:2" s="105" customFormat="1">
      <c r="B1126" s="107"/>
    </row>
    <row r="1127" spans="2:2" s="105" customFormat="1">
      <c r="B1127" s="107"/>
    </row>
    <row r="1128" spans="2:2" s="105" customFormat="1">
      <c r="B1128" s="107"/>
    </row>
    <row r="1129" spans="2:2" s="105" customFormat="1">
      <c r="B1129" s="107"/>
    </row>
    <row r="1130" spans="2:2" s="105" customFormat="1">
      <c r="B1130" s="107"/>
    </row>
    <row r="1131" spans="2:2" s="105" customFormat="1">
      <c r="B1131" s="107"/>
    </row>
    <row r="1132" spans="2:2" s="105" customFormat="1">
      <c r="B1132" s="107"/>
    </row>
    <row r="1133" spans="2:2" s="105" customFormat="1">
      <c r="B1133" s="107"/>
    </row>
    <row r="1134" spans="2:2" s="105" customFormat="1">
      <c r="B1134" s="107"/>
    </row>
    <row r="1135" spans="2:2" s="105" customFormat="1">
      <c r="B1135" s="107"/>
    </row>
    <row r="1136" spans="2:2" s="105" customFormat="1">
      <c r="B1136" s="107"/>
    </row>
    <row r="1137" spans="2:2" s="105" customFormat="1">
      <c r="B1137" s="107"/>
    </row>
    <row r="1138" spans="2:2" s="105" customFormat="1">
      <c r="B1138" s="107"/>
    </row>
    <row r="1139" spans="2:2" s="105" customFormat="1">
      <c r="B1139" s="107"/>
    </row>
    <row r="1140" spans="2:2" s="105" customFormat="1">
      <c r="B1140" s="107"/>
    </row>
    <row r="1141" spans="2:2" s="105" customFormat="1">
      <c r="B1141" s="107"/>
    </row>
    <row r="1142" spans="2:2" s="105" customFormat="1">
      <c r="B1142" s="107"/>
    </row>
    <row r="1143" spans="2:2" s="105" customFormat="1">
      <c r="B1143" s="107"/>
    </row>
    <row r="1144" spans="2:2" s="105" customFormat="1">
      <c r="B1144" s="107"/>
    </row>
    <row r="1145" spans="2:2" s="105" customFormat="1">
      <c r="B1145" s="107"/>
    </row>
    <row r="1146" spans="2:2" s="105" customFormat="1">
      <c r="B1146" s="107"/>
    </row>
    <row r="1147" spans="2:2" s="105" customFormat="1">
      <c r="B1147" s="107"/>
    </row>
    <row r="1148" spans="2:2" s="105" customFormat="1">
      <c r="B1148" s="107"/>
    </row>
    <row r="1149" spans="2:2" s="105" customFormat="1">
      <c r="B1149" s="107"/>
    </row>
    <row r="1150" spans="2:2" s="105" customFormat="1">
      <c r="B1150" s="107"/>
    </row>
    <row r="1151" spans="2:2" s="105" customFormat="1">
      <c r="B1151" s="107"/>
    </row>
    <row r="1152" spans="2:2" s="105" customFormat="1">
      <c r="B1152" s="107"/>
    </row>
    <row r="1153" spans="2:2" s="105" customFormat="1">
      <c r="B1153" s="107"/>
    </row>
    <row r="1154" spans="2:2" s="105" customFormat="1">
      <c r="B1154" s="107"/>
    </row>
    <row r="1155" spans="2:2" s="105" customFormat="1">
      <c r="B1155" s="107"/>
    </row>
    <row r="1156" spans="2:2" s="105" customFormat="1">
      <c r="B1156" s="107"/>
    </row>
    <row r="1157" spans="2:2" s="105" customFormat="1">
      <c r="B1157" s="107"/>
    </row>
    <row r="1158" spans="2:2" s="105" customFormat="1">
      <c r="B1158" s="107"/>
    </row>
    <row r="1159" spans="2:2" s="105" customFormat="1">
      <c r="B1159" s="107"/>
    </row>
    <row r="1160" spans="2:2" s="105" customFormat="1">
      <c r="B1160" s="107"/>
    </row>
    <row r="1161" spans="2:2" s="105" customFormat="1">
      <c r="B1161" s="107"/>
    </row>
    <row r="1162" spans="2:2" s="105" customFormat="1">
      <c r="B1162" s="107"/>
    </row>
    <row r="1163" spans="2:2" s="105" customFormat="1">
      <c r="B1163" s="107"/>
    </row>
    <row r="1164" spans="2:2" s="105" customFormat="1">
      <c r="B1164" s="107"/>
    </row>
    <row r="1165" spans="2:2" s="105" customFormat="1">
      <c r="B1165" s="107"/>
    </row>
    <row r="1166" spans="2:2" s="105" customFormat="1">
      <c r="B1166" s="107"/>
    </row>
    <row r="1167" spans="2:2" s="105" customFormat="1">
      <c r="B1167" s="107"/>
    </row>
    <row r="1168" spans="2:2" s="105" customFormat="1">
      <c r="B1168" s="107"/>
    </row>
    <row r="1169" spans="2:2" s="105" customFormat="1">
      <c r="B1169" s="107"/>
    </row>
    <row r="1170" spans="2:2" s="105" customFormat="1">
      <c r="B1170" s="107"/>
    </row>
    <row r="1171" spans="2:2" s="105" customFormat="1">
      <c r="B1171" s="107"/>
    </row>
    <row r="1172" spans="2:2" s="105" customFormat="1">
      <c r="B1172" s="107"/>
    </row>
    <row r="1173" spans="2:2" s="105" customFormat="1">
      <c r="B1173" s="107"/>
    </row>
    <row r="1174" spans="2:2" s="105" customFormat="1">
      <c r="B1174" s="107"/>
    </row>
    <row r="1175" spans="2:2" s="105" customFormat="1">
      <c r="B1175" s="107"/>
    </row>
    <row r="1176" spans="2:2" s="105" customFormat="1">
      <c r="B1176" s="107"/>
    </row>
    <row r="1177" spans="2:2" s="105" customFormat="1">
      <c r="B1177" s="107"/>
    </row>
    <row r="1178" spans="2:2" s="105" customFormat="1">
      <c r="B1178" s="107"/>
    </row>
    <row r="1179" spans="2:2" s="105" customFormat="1">
      <c r="B1179" s="107"/>
    </row>
    <row r="1180" spans="2:2" s="105" customFormat="1">
      <c r="B1180" s="107"/>
    </row>
    <row r="1181" spans="2:2" s="105" customFormat="1">
      <c r="B1181" s="107"/>
    </row>
    <row r="1182" spans="2:2" s="105" customFormat="1">
      <c r="B1182" s="107"/>
    </row>
    <row r="1183" spans="2:2" s="105" customFormat="1">
      <c r="B1183" s="107"/>
    </row>
    <row r="1184" spans="2:2" s="105" customFormat="1">
      <c r="B1184" s="107"/>
    </row>
    <row r="1185" spans="2:2" s="105" customFormat="1">
      <c r="B1185" s="107"/>
    </row>
    <row r="1186" spans="2:2" s="105" customFormat="1">
      <c r="B1186" s="107"/>
    </row>
    <row r="1187" spans="2:2" s="105" customFormat="1">
      <c r="B1187" s="107"/>
    </row>
    <row r="1188" spans="2:2" s="105" customFormat="1">
      <c r="B1188" s="107"/>
    </row>
    <row r="1189" spans="2:2" s="105" customFormat="1">
      <c r="B1189" s="107"/>
    </row>
    <row r="1190" spans="2:2" s="105" customFormat="1">
      <c r="B1190" s="107"/>
    </row>
    <row r="1191" spans="2:2" s="105" customFormat="1">
      <c r="B1191" s="107"/>
    </row>
    <row r="1192" spans="2:2" s="105" customFormat="1">
      <c r="B1192" s="107"/>
    </row>
    <row r="1193" spans="2:2" s="105" customFormat="1">
      <c r="B1193" s="107"/>
    </row>
    <row r="1194" spans="2:2" s="105" customFormat="1">
      <c r="B1194" s="107"/>
    </row>
    <row r="1195" spans="2:2" s="105" customFormat="1">
      <c r="B1195" s="107"/>
    </row>
    <row r="1196" spans="2:2" s="105" customFormat="1">
      <c r="B1196" s="107"/>
    </row>
    <row r="1197" spans="2:2" s="105" customFormat="1">
      <c r="B1197" s="107"/>
    </row>
    <row r="1198" spans="2:2" s="105" customFormat="1">
      <c r="B1198" s="107"/>
    </row>
    <row r="1199" spans="2:2" s="105" customFormat="1">
      <c r="B1199" s="107"/>
    </row>
    <row r="1200" spans="2:2" s="105" customFormat="1">
      <c r="B1200" s="107"/>
    </row>
    <row r="1201" spans="2:2" s="105" customFormat="1">
      <c r="B1201" s="107"/>
    </row>
    <row r="1202" spans="2:2" s="105" customFormat="1">
      <c r="B1202" s="107"/>
    </row>
    <row r="1203" spans="2:2" s="105" customFormat="1">
      <c r="B1203" s="107"/>
    </row>
    <row r="1204" spans="2:2" s="105" customFormat="1">
      <c r="B1204" s="107"/>
    </row>
    <row r="1205" spans="2:2" s="105" customFormat="1">
      <c r="B1205" s="107"/>
    </row>
    <row r="1206" spans="2:2" s="105" customFormat="1">
      <c r="B1206" s="107"/>
    </row>
    <row r="1207" spans="2:2" s="105" customFormat="1">
      <c r="B1207" s="107"/>
    </row>
    <row r="1208" spans="2:2" s="105" customFormat="1">
      <c r="B1208" s="107"/>
    </row>
    <row r="1209" spans="2:2" s="105" customFormat="1">
      <c r="B1209" s="107"/>
    </row>
    <row r="1210" spans="2:2" s="105" customFormat="1">
      <c r="B1210" s="107"/>
    </row>
    <row r="1211" spans="2:2" s="105" customFormat="1">
      <c r="B1211" s="107"/>
    </row>
    <row r="1212" spans="2:2" s="105" customFormat="1">
      <c r="B1212" s="107"/>
    </row>
    <row r="1213" spans="2:2" s="105" customFormat="1">
      <c r="B1213" s="107"/>
    </row>
    <row r="1214" spans="2:2" s="105" customFormat="1">
      <c r="B1214" s="107"/>
    </row>
    <row r="1215" spans="2:2" s="105" customFormat="1">
      <c r="B1215" s="107"/>
    </row>
    <row r="1216" spans="2:2" s="105" customFormat="1">
      <c r="B1216" s="107"/>
    </row>
    <row r="1217" spans="2:12" s="105" customFormat="1">
      <c r="B1217" s="107"/>
    </row>
    <row r="1218" spans="2:12" s="105" customFormat="1">
      <c r="B1218" s="106"/>
      <c r="C1218" s="104"/>
      <c r="D1218" s="104"/>
      <c r="E1218" s="104"/>
      <c r="F1218" s="104"/>
      <c r="G1218" s="104"/>
      <c r="H1218" s="104"/>
      <c r="K1218" s="104"/>
      <c r="L1218" s="104"/>
    </row>
  </sheetData>
  <mergeCells count="13">
    <mergeCell ref="B20:I21"/>
    <mergeCell ref="D23:E24"/>
    <mergeCell ref="I48:J48"/>
    <mergeCell ref="I51:J51"/>
    <mergeCell ref="I120:J120"/>
    <mergeCell ref="I123:J123"/>
    <mergeCell ref="D331:L332"/>
    <mergeCell ref="G223:H223"/>
    <mergeCell ref="G242:H242"/>
    <mergeCell ref="D275:J276"/>
    <mergeCell ref="D302:J302"/>
    <mergeCell ref="D304:J305"/>
    <mergeCell ref="D326:L327"/>
  </mergeCells>
  <printOptions horizontalCentered="1"/>
  <pageMargins left="0.25" right="0.25" top="1" bottom="1" header="0.65" footer="0.25"/>
  <pageSetup fitToHeight="0" orientation="portrait" horizontalDpi="1200" verticalDpi="1200" r:id="rId1"/>
  <headerFooter alignWithMargins="0">
    <oddHeader xml:space="preserve">&amp;R&amp;16AEPTCo - SPP Formula Rate
&amp;A - True-Up
Page: &amp;P of &amp;N
</oddHeader>
    <oddFooter>&amp;R &amp;C&amp;"Calibri,Regular"&amp;11&amp;B&amp;K000000AEP CONFIDENTIAL</oddFooter>
    <evenFooter>&amp;C&amp;"Calibri,Regular"&amp;11&amp;B&amp;K000000AEP CONFIDENTIAL</evenFooter>
    <firstFooter>&amp;C&amp;"Calibri,Regular"&amp;11&amp;B&amp;K000000AEP CONFIDENTIAL</firstFooter>
  </headerFooter>
  <rowBreaks count="4" manualBreakCount="4">
    <brk id="39" max="11" man="1"/>
    <brk id="112" max="11" man="1"/>
    <brk id="184" max="11" man="1"/>
    <brk id="249"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1218"/>
  <sheetViews>
    <sheetView zoomScale="70" zoomScaleNormal="70" zoomScaleSheetLayoutView="75" workbookViewId="0">
      <selection activeCell="N3" sqref="N3:P6"/>
    </sheetView>
  </sheetViews>
  <sheetFormatPr defaultColWidth="11.42578125" defaultRowHeight="15"/>
  <cols>
    <col min="1" max="1" width="4.5703125" style="104" customWidth="1"/>
    <col min="2" max="2" width="7.85546875" style="106" customWidth="1"/>
    <col min="3" max="3" width="1.85546875" style="104" customWidth="1"/>
    <col min="4" max="4" width="56" style="104" customWidth="1"/>
    <col min="5" max="5" width="37.42578125" style="104" customWidth="1"/>
    <col min="6" max="6" width="26.140625" style="104" customWidth="1"/>
    <col min="7" max="7" width="20.5703125" style="104" customWidth="1"/>
    <col min="8" max="8" width="18.85546875" style="104" customWidth="1"/>
    <col min="9" max="9" width="9.85546875" style="104" customWidth="1"/>
    <col min="10" max="10" width="21.85546875" style="104" bestFit="1" customWidth="1"/>
    <col min="11" max="11" width="4.5703125" style="104" customWidth="1"/>
    <col min="12" max="12" width="21.140625" style="104" customWidth="1"/>
    <col min="13" max="13" width="19.42578125" style="105" customWidth="1"/>
    <col min="14" max="14" width="28.85546875" style="104" bestFit="1" customWidth="1"/>
    <col min="15" max="15" width="3.140625" style="104" customWidth="1"/>
    <col min="16" max="16" width="21.85546875" style="104" customWidth="1"/>
    <col min="17" max="17" width="11.42578125" style="104" customWidth="1"/>
    <col min="18" max="18" width="20.5703125" style="104" bestFit="1" customWidth="1"/>
    <col min="19" max="256" width="11.42578125" style="104"/>
    <col min="257" max="257" width="4.5703125" style="104" customWidth="1"/>
    <col min="258" max="258" width="7.85546875" style="104" customWidth="1"/>
    <col min="259" max="259" width="1.85546875" style="104" customWidth="1"/>
    <col min="260" max="260" width="56" style="104" customWidth="1"/>
    <col min="261" max="261" width="37.42578125" style="104" customWidth="1"/>
    <col min="262" max="262" width="26.140625" style="104" customWidth="1"/>
    <col min="263" max="263" width="20.5703125" style="104" customWidth="1"/>
    <col min="264" max="264" width="18.85546875" style="104" customWidth="1"/>
    <col min="265" max="265" width="9.85546875" style="104" customWidth="1"/>
    <col min="266" max="266" width="21.85546875" style="104" bestFit="1" customWidth="1"/>
    <col min="267" max="267" width="4.5703125" style="104" customWidth="1"/>
    <col min="268" max="268" width="21.140625" style="104" customWidth="1"/>
    <col min="269" max="269" width="19.42578125" style="104" customWidth="1"/>
    <col min="270" max="270" width="28.85546875" style="104" bestFit="1" customWidth="1"/>
    <col min="271" max="271" width="3.140625" style="104" customWidth="1"/>
    <col min="272" max="272" width="21.85546875" style="104" customWidth="1"/>
    <col min="273" max="273" width="11.42578125" style="104" customWidth="1"/>
    <col min="274" max="274" width="20.5703125" style="104" bestFit="1" customWidth="1"/>
    <col min="275" max="512" width="11.42578125" style="104"/>
    <col min="513" max="513" width="4.5703125" style="104" customWidth="1"/>
    <col min="514" max="514" width="7.85546875" style="104" customWidth="1"/>
    <col min="515" max="515" width="1.85546875" style="104" customWidth="1"/>
    <col min="516" max="516" width="56" style="104" customWidth="1"/>
    <col min="517" max="517" width="37.42578125" style="104" customWidth="1"/>
    <col min="518" max="518" width="26.140625" style="104" customWidth="1"/>
    <col min="519" max="519" width="20.5703125" style="104" customWidth="1"/>
    <col min="520" max="520" width="18.85546875" style="104" customWidth="1"/>
    <col min="521" max="521" width="9.85546875" style="104" customWidth="1"/>
    <col min="522" max="522" width="21.85546875" style="104" bestFit="1" customWidth="1"/>
    <col min="523" max="523" width="4.5703125" style="104" customWidth="1"/>
    <col min="524" max="524" width="21.140625" style="104" customWidth="1"/>
    <col min="525" max="525" width="19.42578125" style="104" customWidth="1"/>
    <col min="526" max="526" width="28.85546875" style="104" bestFit="1" customWidth="1"/>
    <col min="527" max="527" width="3.140625" style="104" customWidth="1"/>
    <col min="528" max="528" width="21.85546875" style="104" customWidth="1"/>
    <col min="529" max="529" width="11.42578125" style="104" customWidth="1"/>
    <col min="530" max="530" width="20.5703125" style="104" bestFit="1" customWidth="1"/>
    <col min="531" max="768" width="11.42578125" style="104"/>
    <col min="769" max="769" width="4.5703125" style="104" customWidth="1"/>
    <col min="770" max="770" width="7.85546875" style="104" customWidth="1"/>
    <col min="771" max="771" width="1.85546875" style="104" customWidth="1"/>
    <col min="772" max="772" width="56" style="104" customWidth="1"/>
    <col min="773" max="773" width="37.42578125" style="104" customWidth="1"/>
    <col min="774" max="774" width="26.140625" style="104" customWidth="1"/>
    <col min="775" max="775" width="20.5703125" style="104" customWidth="1"/>
    <col min="776" max="776" width="18.85546875" style="104" customWidth="1"/>
    <col min="777" max="777" width="9.85546875" style="104" customWidth="1"/>
    <col min="778" max="778" width="21.85546875" style="104" bestFit="1" customWidth="1"/>
    <col min="779" max="779" width="4.5703125" style="104" customWidth="1"/>
    <col min="780" max="780" width="21.140625" style="104" customWidth="1"/>
    <col min="781" max="781" width="19.42578125" style="104" customWidth="1"/>
    <col min="782" max="782" width="28.85546875" style="104" bestFit="1" customWidth="1"/>
    <col min="783" max="783" width="3.140625" style="104" customWidth="1"/>
    <col min="784" max="784" width="21.85546875" style="104" customWidth="1"/>
    <col min="785" max="785" width="11.42578125" style="104" customWidth="1"/>
    <col min="786" max="786" width="20.5703125" style="104" bestFit="1" customWidth="1"/>
    <col min="787" max="1024" width="11.42578125" style="104"/>
    <col min="1025" max="1025" width="4.5703125" style="104" customWidth="1"/>
    <col min="1026" max="1026" width="7.85546875" style="104" customWidth="1"/>
    <col min="1027" max="1027" width="1.85546875" style="104" customWidth="1"/>
    <col min="1028" max="1028" width="56" style="104" customWidth="1"/>
    <col min="1029" max="1029" width="37.42578125" style="104" customWidth="1"/>
    <col min="1030" max="1030" width="26.140625" style="104" customWidth="1"/>
    <col min="1031" max="1031" width="20.5703125" style="104" customWidth="1"/>
    <col min="1032" max="1032" width="18.85546875" style="104" customWidth="1"/>
    <col min="1033" max="1033" width="9.85546875" style="104" customWidth="1"/>
    <col min="1034" max="1034" width="21.85546875" style="104" bestFit="1" customWidth="1"/>
    <col min="1035" max="1035" width="4.5703125" style="104" customWidth="1"/>
    <col min="1036" max="1036" width="21.140625" style="104" customWidth="1"/>
    <col min="1037" max="1037" width="19.42578125" style="104" customWidth="1"/>
    <col min="1038" max="1038" width="28.85546875" style="104" bestFit="1" customWidth="1"/>
    <col min="1039" max="1039" width="3.140625" style="104" customWidth="1"/>
    <col min="1040" max="1040" width="21.85546875" style="104" customWidth="1"/>
    <col min="1041" max="1041" width="11.42578125" style="104" customWidth="1"/>
    <col min="1042" max="1042" width="20.5703125" style="104" bestFit="1" customWidth="1"/>
    <col min="1043" max="1280" width="11.42578125" style="104"/>
    <col min="1281" max="1281" width="4.5703125" style="104" customWidth="1"/>
    <col min="1282" max="1282" width="7.85546875" style="104" customWidth="1"/>
    <col min="1283" max="1283" width="1.85546875" style="104" customWidth="1"/>
    <col min="1284" max="1284" width="56" style="104" customWidth="1"/>
    <col min="1285" max="1285" width="37.42578125" style="104" customWidth="1"/>
    <col min="1286" max="1286" width="26.140625" style="104" customWidth="1"/>
    <col min="1287" max="1287" width="20.5703125" style="104" customWidth="1"/>
    <col min="1288" max="1288" width="18.85546875" style="104" customWidth="1"/>
    <col min="1289" max="1289" width="9.85546875" style="104" customWidth="1"/>
    <col min="1290" max="1290" width="21.85546875" style="104" bestFit="1" customWidth="1"/>
    <col min="1291" max="1291" width="4.5703125" style="104" customWidth="1"/>
    <col min="1292" max="1292" width="21.140625" style="104" customWidth="1"/>
    <col min="1293" max="1293" width="19.42578125" style="104" customWidth="1"/>
    <col min="1294" max="1294" width="28.85546875" style="104" bestFit="1" customWidth="1"/>
    <col min="1295" max="1295" width="3.140625" style="104" customWidth="1"/>
    <col min="1296" max="1296" width="21.85546875" style="104" customWidth="1"/>
    <col min="1297" max="1297" width="11.42578125" style="104" customWidth="1"/>
    <col min="1298" max="1298" width="20.5703125" style="104" bestFit="1" customWidth="1"/>
    <col min="1299" max="1536" width="11.42578125" style="104"/>
    <col min="1537" max="1537" width="4.5703125" style="104" customWidth="1"/>
    <col min="1538" max="1538" width="7.85546875" style="104" customWidth="1"/>
    <col min="1539" max="1539" width="1.85546875" style="104" customWidth="1"/>
    <col min="1540" max="1540" width="56" style="104" customWidth="1"/>
    <col min="1541" max="1541" width="37.42578125" style="104" customWidth="1"/>
    <col min="1542" max="1542" width="26.140625" style="104" customWidth="1"/>
    <col min="1543" max="1543" width="20.5703125" style="104" customWidth="1"/>
    <col min="1544" max="1544" width="18.85546875" style="104" customWidth="1"/>
    <col min="1545" max="1545" width="9.85546875" style="104" customWidth="1"/>
    <col min="1546" max="1546" width="21.85546875" style="104" bestFit="1" customWidth="1"/>
    <col min="1547" max="1547" width="4.5703125" style="104" customWidth="1"/>
    <col min="1548" max="1548" width="21.140625" style="104" customWidth="1"/>
    <col min="1549" max="1549" width="19.42578125" style="104" customWidth="1"/>
    <col min="1550" max="1550" width="28.85546875" style="104" bestFit="1" customWidth="1"/>
    <col min="1551" max="1551" width="3.140625" style="104" customWidth="1"/>
    <col min="1552" max="1552" width="21.85546875" style="104" customWidth="1"/>
    <col min="1553" max="1553" width="11.42578125" style="104" customWidth="1"/>
    <col min="1554" max="1554" width="20.5703125" style="104" bestFit="1" customWidth="1"/>
    <col min="1555" max="1792" width="11.42578125" style="104"/>
    <col min="1793" max="1793" width="4.5703125" style="104" customWidth="1"/>
    <col min="1794" max="1794" width="7.85546875" style="104" customWidth="1"/>
    <col min="1795" max="1795" width="1.85546875" style="104" customWidth="1"/>
    <col min="1796" max="1796" width="56" style="104" customWidth="1"/>
    <col min="1797" max="1797" width="37.42578125" style="104" customWidth="1"/>
    <col min="1798" max="1798" width="26.140625" style="104" customWidth="1"/>
    <col min="1799" max="1799" width="20.5703125" style="104" customWidth="1"/>
    <col min="1800" max="1800" width="18.85546875" style="104" customWidth="1"/>
    <col min="1801" max="1801" width="9.85546875" style="104" customWidth="1"/>
    <col min="1802" max="1802" width="21.85546875" style="104" bestFit="1" customWidth="1"/>
    <col min="1803" max="1803" width="4.5703125" style="104" customWidth="1"/>
    <col min="1804" max="1804" width="21.140625" style="104" customWidth="1"/>
    <col min="1805" max="1805" width="19.42578125" style="104" customWidth="1"/>
    <col min="1806" max="1806" width="28.85546875" style="104" bestFit="1" customWidth="1"/>
    <col min="1807" max="1807" width="3.140625" style="104" customWidth="1"/>
    <col min="1808" max="1808" width="21.85546875" style="104" customWidth="1"/>
    <col min="1809" max="1809" width="11.42578125" style="104" customWidth="1"/>
    <col min="1810" max="1810" width="20.5703125" style="104" bestFit="1" customWidth="1"/>
    <col min="1811" max="2048" width="11.42578125" style="104"/>
    <col min="2049" max="2049" width="4.5703125" style="104" customWidth="1"/>
    <col min="2050" max="2050" width="7.85546875" style="104" customWidth="1"/>
    <col min="2051" max="2051" width="1.85546875" style="104" customWidth="1"/>
    <col min="2052" max="2052" width="56" style="104" customWidth="1"/>
    <col min="2053" max="2053" width="37.42578125" style="104" customWidth="1"/>
    <col min="2054" max="2054" width="26.140625" style="104" customWidth="1"/>
    <col min="2055" max="2055" width="20.5703125" style="104" customWidth="1"/>
    <col min="2056" max="2056" width="18.85546875" style="104" customWidth="1"/>
    <col min="2057" max="2057" width="9.85546875" style="104" customWidth="1"/>
    <col min="2058" max="2058" width="21.85546875" style="104" bestFit="1" customWidth="1"/>
    <col min="2059" max="2059" width="4.5703125" style="104" customWidth="1"/>
    <col min="2060" max="2060" width="21.140625" style="104" customWidth="1"/>
    <col min="2061" max="2061" width="19.42578125" style="104" customWidth="1"/>
    <col min="2062" max="2062" width="28.85546875" style="104" bestFit="1" customWidth="1"/>
    <col min="2063" max="2063" width="3.140625" style="104" customWidth="1"/>
    <col min="2064" max="2064" width="21.85546875" style="104" customWidth="1"/>
    <col min="2065" max="2065" width="11.42578125" style="104" customWidth="1"/>
    <col min="2066" max="2066" width="20.5703125" style="104" bestFit="1" customWidth="1"/>
    <col min="2067" max="2304" width="11.42578125" style="104"/>
    <col min="2305" max="2305" width="4.5703125" style="104" customWidth="1"/>
    <col min="2306" max="2306" width="7.85546875" style="104" customWidth="1"/>
    <col min="2307" max="2307" width="1.85546875" style="104" customWidth="1"/>
    <col min="2308" max="2308" width="56" style="104" customWidth="1"/>
    <col min="2309" max="2309" width="37.42578125" style="104" customWidth="1"/>
    <col min="2310" max="2310" width="26.140625" style="104" customWidth="1"/>
    <col min="2311" max="2311" width="20.5703125" style="104" customWidth="1"/>
    <col min="2312" max="2312" width="18.85546875" style="104" customWidth="1"/>
    <col min="2313" max="2313" width="9.85546875" style="104" customWidth="1"/>
    <col min="2314" max="2314" width="21.85546875" style="104" bestFit="1" customWidth="1"/>
    <col min="2315" max="2315" width="4.5703125" style="104" customWidth="1"/>
    <col min="2316" max="2316" width="21.140625" style="104" customWidth="1"/>
    <col min="2317" max="2317" width="19.42578125" style="104" customWidth="1"/>
    <col min="2318" max="2318" width="28.85546875" style="104" bestFit="1" customWidth="1"/>
    <col min="2319" max="2319" width="3.140625" style="104" customWidth="1"/>
    <col min="2320" max="2320" width="21.85546875" style="104" customWidth="1"/>
    <col min="2321" max="2321" width="11.42578125" style="104" customWidth="1"/>
    <col min="2322" max="2322" width="20.5703125" style="104" bestFit="1" customWidth="1"/>
    <col min="2323" max="2560" width="11.42578125" style="104"/>
    <col min="2561" max="2561" width="4.5703125" style="104" customWidth="1"/>
    <col min="2562" max="2562" width="7.85546875" style="104" customWidth="1"/>
    <col min="2563" max="2563" width="1.85546875" style="104" customWidth="1"/>
    <col min="2564" max="2564" width="56" style="104" customWidth="1"/>
    <col min="2565" max="2565" width="37.42578125" style="104" customWidth="1"/>
    <col min="2566" max="2566" width="26.140625" style="104" customWidth="1"/>
    <col min="2567" max="2567" width="20.5703125" style="104" customWidth="1"/>
    <col min="2568" max="2568" width="18.85546875" style="104" customWidth="1"/>
    <col min="2569" max="2569" width="9.85546875" style="104" customWidth="1"/>
    <col min="2570" max="2570" width="21.85546875" style="104" bestFit="1" customWidth="1"/>
    <col min="2571" max="2571" width="4.5703125" style="104" customWidth="1"/>
    <col min="2572" max="2572" width="21.140625" style="104" customWidth="1"/>
    <col min="2573" max="2573" width="19.42578125" style="104" customWidth="1"/>
    <col min="2574" max="2574" width="28.85546875" style="104" bestFit="1" customWidth="1"/>
    <col min="2575" max="2575" width="3.140625" style="104" customWidth="1"/>
    <col min="2576" max="2576" width="21.85546875" style="104" customWidth="1"/>
    <col min="2577" max="2577" width="11.42578125" style="104" customWidth="1"/>
    <col min="2578" max="2578" width="20.5703125" style="104" bestFit="1" customWidth="1"/>
    <col min="2579" max="2816" width="11.42578125" style="104"/>
    <col min="2817" max="2817" width="4.5703125" style="104" customWidth="1"/>
    <col min="2818" max="2818" width="7.85546875" style="104" customWidth="1"/>
    <col min="2819" max="2819" width="1.85546875" style="104" customWidth="1"/>
    <col min="2820" max="2820" width="56" style="104" customWidth="1"/>
    <col min="2821" max="2821" width="37.42578125" style="104" customWidth="1"/>
    <col min="2822" max="2822" width="26.140625" style="104" customWidth="1"/>
    <col min="2823" max="2823" width="20.5703125" style="104" customWidth="1"/>
    <col min="2824" max="2824" width="18.85546875" style="104" customWidth="1"/>
    <col min="2825" max="2825" width="9.85546875" style="104" customWidth="1"/>
    <col min="2826" max="2826" width="21.85546875" style="104" bestFit="1" customWidth="1"/>
    <col min="2827" max="2827" width="4.5703125" style="104" customWidth="1"/>
    <col min="2828" max="2828" width="21.140625" style="104" customWidth="1"/>
    <col min="2829" max="2829" width="19.42578125" style="104" customWidth="1"/>
    <col min="2830" max="2830" width="28.85546875" style="104" bestFit="1" customWidth="1"/>
    <col min="2831" max="2831" width="3.140625" style="104" customWidth="1"/>
    <col min="2832" max="2832" width="21.85546875" style="104" customWidth="1"/>
    <col min="2833" max="2833" width="11.42578125" style="104" customWidth="1"/>
    <col min="2834" max="2834" width="20.5703125" style="104" bestFit="1" customWidth="1"/>
    <col min="2835" max="3072" width="11.42578125" style="104"/>
    <col min="3073" max="3073" width="4.5703125" style="104" customWidth="1"/>
    <col min="3074" max="3074" width="7.85546875" style="104" customWidth="1"/>
    <col min="3075" max="3075" width="1.85546875" style="104" customWidth="1"/>
    <col min="3076" max="3076" width="56" style="104" customWidth="1"/>
    <col min="3077" max="3077" width="37.42578125" style="104" customWidth="1"/>
    <col min="3078" max="3078" width="26.140625" style="104" customWidth="1"/>
    <col min="3079" max="3079" width="20.5703125" style="104" customWidth="1"/>
    <col min="3080" max="3080" width="18.85546875" style="104" customWidth="1"/>
    <col min="3081" max="3081" width="9.85546875" style="104" customWidth="1"/>
    <col min="3082" max="3082" width="21.85546875" style="104" bestFit="1" customWidth="1"/>
    <col min="3083" max="3083" width="4.5703125" style="104" customWidth="1"/>
    <col min="3084" max="3084" width="21.140625" style="104" customWidth="1"/>
    <col min="3085" max="3085" width="19.42578125" style="104" customWidth="1"/>
    <col min="3086" max="3086" width="28.85546875" style="104" bestFit="1" customWidth="1"/>
    <col min="3087" max="3087" width="3.140625" style="104" customWidth="1"/>
    <col min="3088" max="3088" width="21.85546875" style="104" customWidth="1"/>
    <col min="3089" max="3089" width="11.42578125" style="104" customWidth="1"/>
    <col min="3090" max="3090" width="20.5703125" style="104" bestFit="1" customWidth="1"/>
    <col min="3091" max="3328" width="11.42578125" style="104"/>
    <col min="3329" max="3329" width="4.5703125" style="104" customWidth="1"/>
    <col min="3330" max="3330" width="7.85546875" style="104" customWidth="1"/>
    <col min="3331" max="3331" width="1.85546875" style="104" customWidth="1"/>
    <col min="3332" max="3332" width="56" style="104" customWidth="1"/>
    <col min="3333" max="3333" width="37.42578125" style="104" customWidth="1"/>
    <col min="3334" max="3334" width="26.140625" style="104" customWidth="1"/>
    <col min="3335" max="3335" width="20.5703125" style="104" customWidth="1"/>
    <col min="3336" max="3336" width="18.85546875" style="104" customWidth="1"/>
    <col min="3337" max="3337" width="9.85546875" style="104" customWidth="1"/>
    <col min="3338" max="3338" width="21.85546875" style="104" bestFit="1" customWidth="1"/>
    <col min="3339" max="3339" width="4.5703125" style="104" customWidth="1"/>
    <col min="3340" max="3340" width="21.140625" style="104" customWidth="1"/>
    <col min="3341" max="3341" width="19.42578125" style="104" customWidth="1"/>
    <col min="3342" max="3342" width="28.85546875" style="104" bestFit="1" customWidth="1"/>
    <col min="3343" max="3343" width="3.140625" style="104" customWidth="1"/>
    <col min="3344" max="3344" width="21.85546875" style="104" customWidth="1"/>
    <col min="3345" max="3345" width="11.42578125" style="104" customWidth="1"/>
    <col min="3346" max="3346" width="20.5703125" style="104" bestFit="1" customWidth="1"/>
    <col min="3347" max="3584" width="11.42578125" style="104"/>
    <col min="3585" max="3585" width="4.5703125" style="104" customWidth="1"/>
    <col min="3586" max="3586" width="7.85546875" style="104" customWidth="1"/>
    <col min="3587" max="3587" width="1.85546875" style="104" customWidth="1"/>
    <col min="3588" max="3588" width="56" style="104" customWidth="1"/>
    <col min="3589" max="3589" width="37.42578125" style="104" customWidth="1"/>
    <col min="3590" max="3590" width="26.140625" style="104" customWidth="1"/>
    <col min="3591" max="3591" width="20.5703125" style="104" customWidth="1"/>
    <col min="3592" max="3592" width="18.85546875" style="104" customWidth="1"/>
    <col min="3593" max="3593" width="9.85546875" style="104" customWidth="1"/>
    <col min="3594" max="3594" width="21.85546875" style="104" bestFit="1" customWidth="1"/>
    <col min="3595" max="3595" width="4.5703125" style="104" customWidth="1"/>
    <col min="3596" max="3596" width="21.140625" style="104" customWidth="1"/>
    <col min="3597" max="3597" width="19.42578125" style="104" customWidth="1"/>
    <col min="3598" max="3598" width="28.85546875" style="104" bestFit="1" customWidth="1"/>
    <col min="3599" max="3599" width="3.140625" style="104" customWidth="1"/>
    <col min="3600" max="3600" width="21.85546875" style="104" customWidth="1"/>
    <col min="3601" max="3601" width="11.42578125" style="104" customWidth="1"/>
    <col min="3602" max="3602" width="20.5703125" style="104" bestFit="1" customWidth="1"/>
    <col min="3603" max="3840" width="11.42578125" style="104"/>
    <col min="3841" max="3841" width="4.5703125" style="104" customWidth="1"/>
    <col min="3842" max="3842" width="7.85546875" style="104" customWidth="1"/>
    <col min="3843" max="3843" width="1.85546875" style="104" customWidth="1"/>
    <col min="3844" max="3844" width="56" style="104" customWidth="1"/>
    <col min="3845" max="3845" width="37.42578125" style="104" customWidth="1"/>
    <col min="3846" max="3846" width="26.140625" style="104" customWidth="1"/>
    <col min="3847" max="3847" width="20.5703125" style="104" customWidth="1"/>
    <col min="3848" max="3848" width="18.85546875" style="104" customWidth="1"/>
    <col min="3849" max="3849" width="9.85546875" style="104" customWidth="1"/>
    <col min="3850" max="3850" width="21.85546875" style="104" bestFit="1" customWidth="1"/>
    <col min="3851" max="3851" width="4.5703125" style="104" customWidth="1"/>
    <col min="3852" max="3852" width="21.140625" style="104" customWidth="1"/>
    <col min="3853" max="3853" width="19.42578125" style="104" customWidth="1"/>
    <col min="3854" max="3854" width="28.85546875" style="104" bestFit="1" customWidth="1"/>
    <col min="3855" max="3855" width="3.140625" style="104" customWidth="1"/>
    <col min="3856" max="3856" width="21.85546875" style="104" customWidth="1"/>
    <col min="3857" max="3857" width="11.42578125" style="104" customWidth="1"/>
    <col min="3858" max="3858" width="20.5703125" style="104" bestFit="1" customWidth="1"/>
    <col min="3859" max="4096" width="11.42578125" style="104"/>
    <col min="4097" max="4097" width="4.5703125" style="104" customWidth="1"/>
    <col min="4098" max="4098" width="7.85546875" style="104" customWidth="1"/>
    <col min="4099" max="4099" width="1.85546875" style="104" customWidth="1"/>
    <col min="4100" max="4100" width="56" style="104" customWidth="1"/>
    <col min="4101" max="4101" width="37.42578125" style="104" customWidth="1"/>
    <col min="4102" max="4102" width="26.140625" style="104" customWidth="1"/>
    <col min="4103" max="4103" width="20.5703125" style="104" customWidth="1"/>
    <col min="4104" max="4104" width="18.85546875" style="104" customWidth="1"/>
    <col min="4105" max="4105" width="9.85546875" style="104" customWidth="1"/>
    <col min="4106" max="4106" width="21.85546875" style="104" bestFit="1" customWidth="1"/>
    <col min="4107" max="4107" width="4.5703125" style="104" customWidth="1"/>
    <col min="4108" max="4108" width="21.140625" style="104" customWidth="1"/>
    <col min="4109" max="4109" width="19.42578125" style="104" customWidth="1"/>
    <col min="4110" max="4110" width="28.85546875" style="104" bestFit="1" customWidth="1"/>
    <col min="4111" max="4111" width="3.140625" style="104" customWidth="1"/>
    <col min="4112" max="4112" width="21.85546875" style="104" customWidth="1"/>
    <col min="4113" max="4113" width="11.42578125" style="104" customWidth="1"/>
    <col min="4114" max="4114" width="20.5703125" style="104" bestFit="1" customWidth="1"/>
    <col min="4115" max="4352" width="11.42578125" style="104"/>
    <col min="4353" max="4353" width="4.5703125" style="104" customWidth="1"/>
    <col min="4354" max="4354" width="7.85546875" style="104" customWidth="1"/>
    <col min="4355" max="4355" width="1.85546875" style="104" customWidth="1"/>
    <col min="4356" max="4356" width="56" style="104" customWidth="1"/>
    <col min="4357" max="4357" width="37.42578125" style="104" customWidth="1"/>
    <col min="4358" max="4358" width="26.140625" style="104" customWidth="1"/>
    <col min="4359" max="4359" width="20.5703125" style="104" customWidth="1"/>
    <col min="4360" max="4360" width="18.85546875" style="104" customWidth="1"/>
    <col min="4361" max="4361" width="9.85546875" style="104" customWidth="1"/>
    <col min="4362" max="4362" width="21.85546875" style="104" bestFit="1" customWidth="1"/>
    <col min="4363" max="4363" width="4.5703125" style="104" customWidth="1"/>
    <col min="4364" max="4364" width="21.140625" style="104" customWidth="1"/>
    <col min="4365" max="4365" width="19.42578125" style="104" customWidth="1"/>
    <col min="4366" max="4366" width="28.85546875" style="104" bestFit="1" customWidth="1"/>
    <col min="4367" max="4367" width="3.140625" style="104" customWidth="1"/>
    <col min="4368" max="4368" width="21.85546875" style="104" customWidth="1"/>
    <col min="4369" max="4369" width="11.42578125" style="104" customWidth="1"/>
    <col min="4370" max="4370" width="20.5703125" style="104" bestFit="1" customWidth="1"/>
    <col min="4371" max="4608" width="11.42578125" style="104"/>
    <col min="4609" max="4609" width="4.5703125" style="104" customWidth="1"/>
    <col min="4610" max="4610" width="7.85546875" style="104" customWidth="1"/>
    <col min="4611" max="4611" width="1.85546875" style="104" customWidth="1"/>
    <col min="4612" max="4612" width="56" style="104" customWidth="1"/>
    <col min="4613" max="4613" width="37.42578125" style="104" customWidth="1"/>
    <col min="4614" max="4614" width="26.140625" style="104" customWidth="1"/>
    <col min="4615" max="4615" width="20.5703125" style="104" customWidth="1"/>
    <col min="4616" max="4616" width="18.85546875" style="104" customWidth="1"/>
    <col min="4617" max="4617" width="9.85546875" style="104" customWidth="1"/>
    <col min="4618" max="4618" width="21.85546875" style="104" bestFit="1" customWidth="1"/>
    <col min="4619" max="4619" width="4.5703125" style="104" customWidth="1"/>
    <col min="4620" max="4620" width="21.140625" style="104" customWidth="1"/>
    <col min="4621" max="4621" width="19.42578125" style="104" customWidth="1"/>
    <col min="4622" max="4622" width="28.85546875" style="104" bestFit="1" customWidth="1"/>
    <col min="4623" max="4623" width="3.140625" style="104" customWidth="1"/>
    <col min="4624" max="4624" width="21.85546875" style="104" customWidth="1"/>
    <col min="4625" max="4625" width="11.42578125" style="104" customWidth="1"/>
    <col min="4626" max="4626" width="20.5703125" style="104" bestFit="1" customWidth="1"/>
    <col min="4627" max="4864" width="11.42578125" style="104"/>
    <col min="4865" max="4865" width="4.5703125" style="104" customWidth="1"/>
    <col min="4866" max="4866" width="7.85546875" style="104" customWidth="1"/>
    <col min="4867" max="4867" width="1.85546875" style="104" customWidth="1"/>
    <col min="4868" max="4868" width="56" style="104" customWidth="1"/>
    <col min="4869" max="4869" width="37.42578125" style="104" customWidth="1"/>
    <col min="4870" max="4870" width="26.140625" style="104" customWidth="1"/>
    <col min="4871" max="4871" width="20.5703125" style="104" customWidth="1"/>
    <col min="4872" max="4872" width="18.85546875" style="104" customWidth="1"/>
    <col min="4873" max="4873" width="9.85546875" style="104" customWidth="1"/>
    <col min="4874" max="4874" width="21.85546875" style="104" bestFit="1" customWidth="1"/>
    <col min="4875" max="4875" width="4.5703125" style="104" customWidth="1"/>
    <col min="4876" max="4876" width="21.140625" style="104" customWidth="1"/>
    <col min="4877" max="4877" width="19.42578125" style="104" customWidth="1"/>
    <col min="4878" max="4878" width="28.85546875" style="104" bestFit="1" customWidth="1"/>
    <col min="4879" max="4879" width="3.140625" style="104" customWidth="1"/>
    <col min="4880" max="4880" width="21.85546875" style="104" customWidth="1"/>
    <col min="4881" max="4881" width="11.42578125" style="104" customWidth="1"/>
    <col min="4882" max="4882" width="20.5703125" style="104" bestFit="1" customWidth="1"/>
    <col min="4883" max="5120" width="11.42578125" style="104"/>
    <col min="5121" max="5121" width="4.5703125" style="104" customWidth="1"/>
    <col min="5122" max="5122" width="7.85546875" style="104" customWidth="1"/>
    <col min="5123" max="5123" width="1.85546875" style="104" customWidth="1"/>
    <col min="5124" max="5124" width="56" style="104" customWidth="1"/>
    <col min="5125" max="5125" width="37.42578125" style="104" customWidth="1"/>
    <col min="5126" max="5126" width="26.140625" style="104" customWidth="1"/>
    <col min="5127" max="5127" width="20.5703125" style="104" customWidth="1"/>
    <col min="5128" max="5128" width="18.85546875" style="104" customWidth="1"/>
    <col min="5129" max="5129" width="9.85546875" style="104" customWidth="1"/>
    <col min="5130" max="5130" width="21.85546875" style="104" bestFit="1" customWidth="1"/>
    <col min="5131" max="5131" width="4.5703125" style="104" customWidth="1"/>
    <col min="5132" max="5132" width="21.140625" style="104" customWidth="1"/>
    <col min="5133" max="5133" width="19.42578125" style="104" customWidth="1"/>
    <col min="5134" max="5134" width="28.85546875" style="104" bestFit="1" customWidth="1"/>
    <col min="5135" max="5135" width="3.140625" style="104" customWidth="1"/>
    <col min="5136" max="5136" width="21.85546875" style="104" customWidth="1"/>
    <col min="5137" max="5137" width="11.42578125" style="104" customWidth="1"/>
    <col min="5138" max="5138" width="20.5703125" style="104" bestFit="1" customWidth="1"/>
    <col min="5139" max="5376" width="11.42578125" style="104"/>
    <col min="5377" max="5377" width="4.5703125" style="104" customWidth="1"/>
    <col min="5378" max="5378" width="7.85546875" style="104" customWidth="1"/>
    <col min="5379" max="5379" width="1.85546875" style="104" customWidth="1"/>
    <col min="5380" max="5380" width="56" style="104" customWidth="1"/>
    <col min="5381" max="5381" width="37.42578125" style="104" customWidth="1"/>
    <col min="5382" max="5382" width="26.140625" style="104" customWidth="1"/>
    <col min="5383" max="5383" width="20.5703125" style="104" customWidth="1"/>
    <col min="5384" max="5384" width="18.85546875" style="104" customWidth="1"/>
    <col min="5385" max="5385" width="9.85546875" style="104" customWidth="1"/>
    <col min="5386" max="5386" width="21.85546875" style="104" bestFit="1" customWidth="1"/>
    <col min="5387" max="5387" width="4.5703125" style="104" customWidth="1"/>
    <col min="5388" max="5388" width="21.140625" style="104" customWidth="1"/>
    <col min="5389" max="5389" width="19.42578125" style="104" customWidth="1"/>
    <col min="5390" max="5390" width="28.85546875" style="104" bestFit="1" customWidth="1"/>
    <col min="5391" max="5391" width="3.140625" style="104" customWidth="1"/>
    <col min="5392" max="5392" width="21.85546875" style="104" customWidth="1"/>
    <col min="5393" max="5393" width="11.42578125" style="104" customWidth="1"/>
    <col min="5394" max="5394" width="20.5703125" style="104" bestFit="1" customWidth="1"/>
    <col min="5395" max="5632" width="11.42578125" style="104"/>
    <col min="5633" max="5633" width="4.5703125" style="104" customWidth="1"/>
    <col min="5634" max="5634" width="7.85546875" style="104" customWidth="1"/>
    <col min="5635" max="5635" width="1.85546875" style="104" customWidth="1"/>
    <col min="5636" max="5636" width="56" style="104" customWidth="1"/>
    <col min="5637" max="5637" width="37.42578125" style="104" customWidth="1"/>
    <col min="5638" max="5638" width="26.140625" style="104" customWidth="1"/>
    <col min="5639" max="5639" width="20.5703125" style="104" customWidth="1"/>
    <col min="5640" max="5640" width="18.85546875" style="104" customWidth="1"/>
    <col min="5641" max="5641" width="9.85546875" style="104" customWidth="1"/>
    <col min="5642" max="5642" width="21.85546875" style="104" bestFit="1" customWidth="1"/>
    <col min="5643" max="5643" width="4.5703125" style="104" customWidth="1"/>
    <col min="5644" max="5644" width="21.140625" style="104" customWidth="1"/>
    <col min="5645" max="5645" width="19.42578125" style="104" customWidth="1"/>
    <col min="5646" max="5646" width="28.85546875" style="104" bestFit="1" customWidth="1"/>
    <col min="5647" max="5647" width="3.140625" style="104" customWidth="1"/>
    <col min="5648" max="5648" width="21.85546875" style="104" customWidth="1"/>
    <col min="5649" max="5649" width="11.42578125" style="104" customWidth="1"/>
    <col min="5650" max="5650" width="20.5703125" style="104" bestFit="1" customWidth="1"/>
    <col min="5651" max="5888" width="11.42578125" style="104"/>
    <col min="5889" max="5889" width="4.5703125" style="104" customWidth="1"/>
    <col min="5890" max="5890" width="7.85546875" style="104" customWidth="1"/>
    <col min="5891" max="5891" width="1.85546875" style="104" customWidth="1"/>
    <col min="5892" max="5892" width="56" style="104" customWidth="1"/>
    <col min="5893" max="5893" width="37.42578125" style="104" customWidth="1"/>
    <col min="5894" max="5894" width="26.140625" style="104" customWidth="1"/>
    <col min="5895" max="5895" width="20.5703125" style="104" customWidth="1"/>
    <col min="5896" max="5896" width="18.85546875" style="104" customWidth="1"/>
    <col min="5897" max="5897" width="9.85546875" style="104" customWidth="1"/>
    <col min="5898" max="5898" width="21.85546875" style="104" bestFit="1" customWidth="1"/>
    <col min="5899" max="5899" width="4.5703125" style="104" customWidth="1"/>
    <col min="5900" max="5900" width="21.140625" style="104" customWidth="1"/>
    <col min="5901" max="5901" width="19.42578125" style="104" customWidth="1"/>
    <col min="5902" max="5902" width="28.85546875" style="104" bestFit="1" customWidth="1"/>
    <col min="5903" max="5903" width="3.140625" style="104" customWidth="1"/>
    <col min="5904" max="5904" width="21.85546875" style="104" customWidth="1"/>
    <col min="5905" max="5905" width="11.42578125" style="104" customWidth="1"/>
    <col min="5906" max="5906" width="20.5703125" style="104" bestFit="1" customWidth="1"/>
    <col min="5907" max="6144" width="11.42578125" style="104"/>
    <col min="6145" max="6145" width="4.5703125" style="104" customWidth="1"/>
    <col min="6146" max="6146" width="7.85546875" style="104" customWidth="1"/>
    <col min="6147" max="6147" width="1.85546875" style="104" customWidth="1"/>
    <col min="6148" max="6148" width="56" style="104" customWidth="1"/>
    <col min="6149" max="6149" width="37.42578125" style="104" customWidth="1"/>
    <col min="6150" max="6150" width="26.140625" style="104" customWidth="1"/>
    <col min="6151" max="6151" width="20.5703125" style="104" customWidth="1"/>
    <col min="6152" max="6152" width="18.85546875" style="104" customWidth="1"/>
    <col min="6153" max="6153" width="9.85546875" style="104" customWidth="1"/>
    <col min="6154" max="6154" width="21.85546875" style="104" bestFit="1" customWidth="1"/>
    <col min="6155" max="6155" width="4.5703125" style="104" customWidth="1"/>
    <col min="6156" max="6156" width="21.140625" style="104" customWidth="1"/>
    <col min="6157" max="6157" width="19.42578125" style="104" customWidth="1"/>
    <col min="6158" max="6158" width="28.85546875" style="104" bestFit="1" customWidth="1"/>
    <col min="6159" max="6159" width="3.140625" style="104" customWidth="1"/>
    <col min="6160" max="6160" width="21.85546875" style="104" customWidth="1"/>
    <col min="6161" max="6161" width="11.42578125" style="104" customWidth="1"/>
    <col min="6162" max="6162" width="20.5703125" style="104" bestFit="1" customWidth="1"/>
    <col min="6163" max="6400" width="11.42578125" style="104"/>
    <col min="6401" max="6401" width="4.5703125" style="104" customWidth="1"/>
    <col min="6402" max="6402" width="7.85546875" style="104" customWidth="1"/>
    <col min="6403" max="6403" width="1.85546875" style="104" customWidth="1"/>
    <col min="6404" max="6404" width="56" style="104" customWidth="1"/>
    <col min="6405" max="6405" width="37.42578125" style="104" customWidth="1"/>
    <col min="6406" max="6406" width="26.140625" style="104" customWidth="1"/>
    <col min="6407" max="6407" width="20.5703125" style="104" customWidth="1"/>
    <col min="6408" max="6408" width="18.85546875" style="104" customWidth="1"/>
    <col min="6409" max="6409" width="9.85546875" style="104" customWidth="1"/>
    <col min="6410" max="6410" width="21.85546875" style="104" bestFit="1" customWidth="1"/>
    <col min="6411" max="6411" width="4.5703125" style="104" customWidth="1"/>
    <col min="6412" max="6412" width="21.140625" style="104" customWidth="1"/>
    <col min="6413" max="6413" width="19.42578125" style="104" customWidth="1"/>
    <col min="6414" max="6414" width="28.85546875" style="104" bestFit="1" customWidth="1"/>
    <col min="6415" max="6415" width="3.140625" style="104" customWidth="1"/>
    <col min="6416" max="6416" width="21.85546875" style="104" customWidth="1"/>
    <col min="6417" max="6417" width="11.42578125" style="104" customWidth="1"/>
    <col min="6418" max="6418" width="20.5703125" style="104" bestFit="1" customWidth="1"/>
    <col min="6419" max="6656" width="11.42578125" style="104"/>
    <col min="6657" max="6657" width="4.5703125" style="104" customWidth="1"/>
    <col min="6658" max="6658" width="7.85546875" style="104" customWidth="1"/>
    <col min="6659" max="6659" width="1.85546875" style="104" customWidth="1"/>
    <col min="6660" max="6660" width="56" style="104" customWidth="1"/>
    <col min="6661" max="6661" width="37.42578125" style="104" customWidth="1"/>
    <col min="6662" max="6662" width="26.140625" style="104" customWidth="1"/>
    <col min="6663" max="6663" width="20.5703125" style="104" customWidth="1"/>
    <col min="6664" max="6664" width="18.85546875" style="104" customWidth="1"/>
    <col min="6665" max="6665" width="9.85546875" style="104" customWidth="1"/>
    <col min="6666" max="6666" width="21.85546875" style="104" bestFit="1" customWidth="1"/>
    <col min="6667" max="6667" width="4.5703125" style="104" customWidth="1"/>
    <col min="6668" max="6668" width="21.140625" style="104" customWidth="1"/>
    <col min="6669" max="6669" width="19.42578125" style="104" customWidth="1"/>
    <col min="6670" max="6670" width="28.85546875" style="104" bestFit="1" customWidth="1"/>
    <col min="6671" max="6671" width="3.140625" style="104" customWidth="1"/>
    <col min="6672" max="6672" width="21.85546875" style="104" customWidth="1"/>
    <col min="6673" max="6673" width="11.42578125" style="104" customWidth="1"/>
    <col min="6674" max="6674" width="20.5703125" style="104" bestFit="1" customWidth="1"/>
    <col min="6675" max="6912" width="11.42578125" style="104"/>
    <col min="6913" max="6913" width="4.5703125" style="104" customWidth="1"/>
    <col min="6914" max="6914" width="7.85546875" style="104" customWidth="1"/>
    <col min="6915" max="6915" width="1.85546875" style="104" customWidth="1"/>
    <col min="6916" max="6916" width="56" style="104" customWidth="1"/>
    <col min="6917" max="6917" width="37.42578125" style="104" customWidth="1"/>
    <col min="6918" max="6918" width="26.140625" style="104" customWidth="1"/>
    <col min="6919" max="6919" width="20.5703125" style="104" customWidth="1"/>
    <col min="6920" max="6920" width="18.85546875" style="104" customWidth="1"/>
    <col min="6921" max="6921" width="9.85546875" style="104" customWidth="1"/>
    <col min="6922" max="6922" width="21.85546875" style="104" bestFit="1" customWidth="1"/>
    <col min="6923" max="6923" width="4.5703125" style="104" customWidth="1"/>
    <col min="6924" max="6924" width="21.140625" style="104" customWidth="1"/>
    <col min="6925" max="6925" width="19.42578125" style="104" customWidth="1"/>
    <col min="6926" max="6926" width="28.85546875" style="104" bestFit="1" customWidth="1"/>
    <col min="6927" max="6927" width="3.140625" style="104" customWidth="1"/>
    <col min="6928" max="6928" width="21.85546875" style="104" customWidth="1"/>
    <col min="6929" max="6929" width="11.42578125" style="104" customWidth="1"/>
    <col min="6930" max="6930" width="20.5703125" style="104" bestFit="1" customWidth="1"/>
    <col min="6931" max="7168" width="11.42578125" style="104"/>
    <col min="7169" max="7169" width="4.5703125" style="104" customWidth="1"/>
    <col min="7170" max="7170" width="7.85546875" style="104" customWidth="1"/>
    <col min="7171" max="7171" width="1.85546875" style="104" customWidth="1"/>
    <col min="7172" max="7172" width="56" style="104" customWidth="1"/>
    <col min="7173" max="7173" width="37.42578125" style="104" customWidth="1"/>
    <col min="7174" max="7174" width="26.140625" style="104" customWidth="1"/>
    <col min="7175" max="7175" width="20.5703125" style="104" customWidth="1"/>
    <col min="7176" max="7176" width="18.85546875" style="104" customWidth="1"/>
    <col min="7177" max="7177" width="9.85546875" style="104" customWidth="1"/>
    <col min="7178" max="7178" width="21.85546875" style="104" bestFit="1" customWidth="1"/>
    <col min="7179" max="7179" width="4.5703125" style="104" customWidth="1"/>
    <col min="7180" max="7180" width="21.140625" style="104" customWidth="1"/>
    <col min="7181" max="7181" width="19.42578125" style="104" customWidth="1"/>
    <col min="7182" max="7182" width="28.85546875" style="104" bestFit="1" customWidth="1"/>
    <col min="7183" max="7183" width="3.140625" style="104" customWidth="1"/>
    <col min="7184" max="7184" width="21.85546875" style="104" customWidth="1"/>
    <col min="7185" max="7185" width="11.42578125" style="104" customWidth="1"/>
    <col min="7186" max="7186" width="20.5703125" style="104" bestFit="1" customWidth="1"/>
    <col min="7187" max="7424" width="11.42578125" style="104"/>
    <col min="7425" max="7425" width="4.5703125" style="104" customWidth="1"/>
    <col min="7426" max="7426" width="7.85546875" style="104" customWidth="1"/>
    <col min="7427" max="7427" width="1.85546875" style="104" customWidth="1"/>
    <col min="7428" max="7428" width="56" style="104" customWidth="1"/>
    <col min="7429" max="7429" width="37.42578125" style="104" customWidth="1"/>
    <col min="7430" max="7430" width="26.140625" style="104" customWidth="1"/>
    <col min="7431" max="7431" width="20.5703125" style="104" customWidth="1"/>
    <col min="7432" max="7432" width="18.85546875" style="104" customWidth="1"/>
    <col min="7433" max="7433" width="9.85546875" style="104" customWidth="1"/>
    <col min="7434" max="7434" width="21.85546875" style="104" bestFit="1" customWidth="1"/>
    <col min="7435" max="7435" width="4.5703125" style="104" customWidth="1"/>
    <col min="7436" max="7436" width="21.140625" style="104" customWidth="1"/>
    <col min="7437" max="7437" width="19.42578125" style="104" customWidth="1"/>
    <col min="7438" max="7438" width="28.85546875" style="104" bestFit="1" customWidth="1"/>
    <col min="7439" max="7439" width="3.140625" style="104" customWidth="1"/>
    <col min="7440" max="7440" width="21.85546875" style="104" customWidth="1"/>
    <col min="7441" max="7441" width="11.42578125" style="104" customWidth="1"/>
    <col min="7442" max="7442" width="20.5703125" style="104" bestFit="1" customWidth="1"/>
    <col min="7443" max="7680" width="11.42578125" style="104"/>
    <col min="7681" max="7681" width="4.5703125" style="104" customWidth="1"/>
    <col min="7682" max="7682" width="7.85546875" style="104" customWidth="1"/>
    <col min="7683" max="7683" width="1.85546875" style="104" customWidth="1"/>
    <col min="7684" max="7684" width="56" style="104" customWidth="1"/>
    <col min="7685" max="7685" width="37.42578125" style="104" customWidth="1"/>
    <col min="7686" max="7686" width="26.140625" style="104" customWidth="1"/>
    <col min="7687" max="7687" width="20.5703125" style="104" customWidth="1"/>
    <col min="7688" max="7688" width="18.85546875" style="104" customWidth="1"/>
    <col min="7689" max="7689" width="9.85546875" style="104" customWidth="1"/>
    <col min="7690" max="7690" width="21.85546875" style="104" bestFit="1" customWidth="1"/>
    <col min="7691" max="7691" width="4.5703125" style="104" customWidth="1"/>
    <col min="7692" max="7692" width="21.140625" style="104" customWidth="1"/>
    <col min="7693" max="7693" width="19.42578125" style="104" customWidth="1"/>
    <col min="7694" max="7694" width="28.85546875" style="104" bestFit="1" customWidth="1"/>
    <col min="7695" max="7695" width="3.140625" style="104" customWidth="1"/>
    <col min="7696" max="7696" width="21.85546875" style="104" customWidth="1"/>
    <col min="7697" max="7697" width="11.42578125" style="104" customWidth="1"/>
    <col min="7698" max="7698" width="20.5703125" style="104" bestFit="1" customWidth="1"/>
    <col min="7699" max="7936" width="11.42578125" style="104"/>
    <col min="7937" max="7937" width="4.5703125" style="104" customWidth="1"/>
    <col min="7938" max="7938" width="7.85546875" style="104" customWidth="1"/>
    <col min="7939" max="7939" width="1.85546875" style="104" customWidth="1"/>
    <col min="7940" max="7940" width="56" style="104" customWidth="1"/>
    <col min="7941" max="7941" width="37.42578125" style="104" customWidth="1"/>
    <col min="7942" max="7942" width="26.140625" style="104" customWidth="1"/>
    <col min="7943" max="7943" width="20.5703125" style="104" customWidth="1"/>
    <col min="7944" max="7944" width="18.85546875" style="104" customWidth="1"/>
    <col min="7945" max="7945" width="9.85546875" style="104" customWidth="1"/>
    <col min="7946" max="7946" width="21.85546875" style="104" bestFit="1" customWidth="1"/>
    <col min="7947" max="7947" width="4.5703125" style="104" customWidth="1"/>
    <col min="7948" max="7948" width="21.140625" style="104" customWidth="1"/>
    <col min="7949" max="7949" width="19.42578125" style="104" customWidth="1"/>
    <col min="7950" max="7950" width="28.85546875" style="104" bestFit="1" customWidth="1"/>
    <col min="7951" max="7951" width="3.140625" style="104" customWidth="1"/>
    <col min="7952" max="7952" width="21.85546875" style="104" customWidth="1"/>
    <col min="7953" max="7953" width="11.42578125" style="104" customWidth="1"/>
    <col min="7954" max="7954" width="20.5703125" style="104" bestFit="1" customWidth="1"/>
    <col min="7955" max="8192" width="11.42578125" style="104"/>
    <col min="8193" max="8193" width="4.5703125" style="104" customWidth="1"/>
    <col min="8194" max="8194" width="7.85546875" style="104" customWidth="1"/>
    <col min="8195" max="8195" width="1.85546875" style="104" customWidth="1"/>
    <col min="8196" max="8196" width="56" style="104" customWidth="1"/>
    <col min="8197" max="8197" width="37.42578125" style="104" customWidth="1"/>
    <col min="8198" max="8198" width="26.140625" style="104" customWidth="1"/>
    <col min="8199" max="8199" width="20.5703125" style="104" customWidth="1"/>
    <col min="8200" max="8200" width="18.85546875" style="104" customWidth="1"/>
    <col min="8201" max="8201" width="9.85546875" style="104" customWidth="1"/>
    <col min="8202" max="8202" width="21.85546875" style="104" bestFit="1" customWidth="1"/>
    <col min="8203" max="8203" width="4.5703125" style="104" customWidth="1"/>
    <col min="8204" max="8204" width="21.140625" style="104" customWidth="1"/>
    <col min="8205" max="8205" width="19.42578125" style="104" customWidth="1"/>
    <col min="8206" max="8206" width="28.85546875" style="104" bestFit="1" customWidth="1"/>
    <col min="8207" max="8207" width="3.140625" style="104" customWidth="1"/>
    <col min="8208" max="8208" width="21.85546875" style="104" customWidth="1"/>
    <col min="8209" max="8209" width="11.42578125" style="104" customWidth="1"/>
    <col min="8210" max="8210" width="20.5703125" style="104" bestFit="1" customWidth="1"/>
    <col min="8211" max="8448" width="11.42578125" style="104"/>
    <col min="8449" max="8449" width="4.5703125" style="104" customWidth="1"/>
    <col min="8450" max="8450" width="7.85546875" style="104" customWidth="1"/>
    <col min="8451" max="8451" width="1.85546875" style="104" customWidth="1"/>
    <col min="8452" max="8452" width="56" style="104" customWidth="1"/>
    <col min="8453" max="8453" width="37.42578125" style="104" customWidth="1"/>
    <col min="8454" max="8454" width="26.140625" style="104" customWidth="1"/>
    <col min="8455" max="8455" width="20.5703125" style="104" customWidth="1"/>
    <col min="8456" max="8456" width="18.85546875" style="104" customWidth="1"/>
    <col min="8457" max="8457" width="9.85546875" style="104" customWidth="1"/>
    <col min="8458" max="8458" width="21.85546875" style="104" bestFit="1" customWidth="1"/>
    <col min="8459" max="8459" width="4.5703125" style="104" customWidth="1"/>
    <col min="8460" max="8460" width="21.140625" style="104" customWidth="1"/>
    <col min="8461" max="8461" width="19.42578125" style="104" customWidth="1"/>
    <col min="8462" max="8462" width="28.85546875" style="104" bestFit="1" customWidth="1"/>
    <col min="8463" max="8463" width="3.140625" style="104" customWidth="1"/>
    <col min="8464" max="8464" width="21.85546875" style="104" customWidth="1"/>
    <col min="8465" max="8465" width="11.42578125" style="104" customWidth="1"/>
    <col min="8466" max="8466" width="20.5703125" style="104" bestFit="1" customWidth="1"/>
    <col min="8467" max="8704" width="11.42578125" style="104"/>
    <col min="8705" max="8705" width="4.5703125" style="104" customWidth="1"/>
    <col min="8706" max="8706" width="7.85546875" style="104" customWidth="1"/>
    <col min="8707" max="8707" width="1.85546875" style="104" customWidth="1"/>
    <col min="8708" max="8708" width="56" style="104" customWidth="1"/>
    <col min="8709" max="8709" width="37.42578125" style="104" customWidth="1"/>
    <col min="8710" max="8710" width="26.140625" style="104" customWidth="1"/>
    <col min="8711" max="8711" width="20.5703125" style="104" customWidth="1"/>
    <col min="8712" max="8712" width="18.85546875" style="104" customWidth="1"/>
    <col min="8713" max="8713" width="9.85546875" style="104" customWidth="1"/>
    <col min="8714" max="8714" width="21.85546875" style="104" bestFit="1" customWidth="1"/>
    <col min="8715" max="8715" width="4.5703125" style="104" customWidth="1"/>
    <col min="8716" max="8716" width="21.140625" style="104" customWidth="1"/>
    <col min="8717" max="8717" width="19.42578125" style="104" customWidth="1"/>
    <col min="8718" max="8718" width="28.85546875" style="104" bestFit="1" customWidth="1"/>
    <col min="8719" max="8719" width="3.140625" style="104" customWidth="1"/>
    <col min="8720" max="8720" width="21.85546875" style="104" customWidth="1"/>
    <col min="8721" max="8721" width="11.42578125" style="104" customWidth="1"/>
    <col min="8722" max="8722" width="20.5703125" style="104" bestFit="1" customWidth="1"/>
    <col min="8723" max="8960" width="11.42578125" style="104"/>
    <col min="8961" max="8961" width="4.5703125" style="104" customWidth="1"/>
    <col min="8962" max="8962" width="7.85546875" style="104" customWidth="1"/>
    <col min="8963" max="8963" width="1.85546875" style="104" customWidth="1"/>
    <col min="8964" max="8964" width="56" style="104" customWidth="1"/>
    <col min="8965" max="8965" width="37.42578125" style="104" customWidth="1"/>
    <col min="8966" max="8966" width="26.140625" style="104" customWidth="1"/>
    <col min="8967" max="8967" width="20.5703125" style="104" customWidth="1"/>
    <col min="8968" max="8968" width="18.85546875" style="104" customWidth="1"/>
    <col min="8969" max="8969" width="9.85546875" style="104" customWidth="1"/>
    <col min="8970" max="8970" width="21.85546875" style="104" bestFit="1" customWidth="1"/>
    <col min="8971" max="8971" width="4.5703125" style="104" customWidth="1"/>
    <col min="8972" max="8972" width="21.140625" style="104" customWidth="1"/>
    <col min="8973" max="8973" width="19.42578125" style="104" customWidth="1"/>
    <col min="8974" max="8974" width="28.85546875" style="104" bestFit="1" customWidth="1"/>
    <col min="8975" max="8975" width="3.140625" style="104" customWidth="1"/>
    <col min="8976" max="8976" width="21.85546875" style="104" customWidth="1"/>
    <col min="8977" max="8977" width="11.42578125" style="104" customWidth="1"/>
    <col min="8978" max="8978" width="20.5703125" style="104" bestFit="1" customWidth="1"/>
    <col min="8979" max="9216" width="11.42578125" style="104"/>
    <col min="9217" max="9217" width="4.5703125" style="104" customWidth="1"/>
    <col min="9218" max="9218" width="7.85546875" style="104" customWidth="1"/>
    <col min="9219" max="9219" width="1.85546875" style="104" customWidth="1"/>
    <col min="9220" max="9220" width="56" style="104" customWidth="1"/>
    <col min="9221" max="9221" width="37.42578125" style="104" customWidth="1"/>
    <col min="9222" max="9222" width="26.140625" style="104" customWidth="1"/>
    <col min="9223" max="9223" width="20.5703125" style="104" customWidth="1"/>
    <col min="9224" max="9224" width="18.85546875" style="104" customWidth="1"/>
    <col min="9225" max="9225" width="9.85546875" style="104" customWidth="1"/>
    <col min="9226" max="9226" width="21.85546875" style="104" bestFit="1" customWidth="1"/>
    <col min="9227" max="9227" width="4.5703125" style="104" customWidth="1"/>
    <col min="9228" max="9228" width="21.140625" style="104" customWidth="1"/>
    <col min="9229" max="9229" width="19.42578125" style="104" customWidth="1"/>
    <col min="9230" max="9230" width="28.85546875" style="104" bestFit="1" customWidth="1"/>
    <col min="9231" max="9231" width="3.140625" style="104" customWidth="1"/>
    <col min="9232" max="9232" width="21.85546875" style="104" customWidth="1"/>
    <col min="9233" max="9233" width="11.42578125" style="104" customWidth="1"/>
    <col min="9234" max="9234" width="20.5703125" style="104" bestFit="1" customWidth="1"/>
    <col min="9235" max="9472" width="11.42578125" style="104"/>
    <col min="9473" max="9473" width="4.5703125" style="104" customWidth="1"/>
    <col min="9474" max="9474" width="7.85546875" style="104" customWidth="1"/>
    <col min="9475" max="9475" width="1.85546875" style="104" customWidth="1"/>
    <col min="9476" max="9476" width="56" style="104" customWidth="1"/>
    <col min="9477" max="9477" width="37.42578125" style="104" customWidth="1"/>
    <col min="9478" max="9478" width="26.140625" style="104" customWidth="1"/>
    <col min="9479" max="9479" width="20.5703125" style="104" customWidth="1"/>
    <col min="9480" max="9480" width="18.85546875" style="104" customWidth="1"/>
    <col min="9481" max="9481" width="9.85546875" style="104" customWidth="1"/>
    <col min="9482" max="9482" width="21.85546875" style="104" bestFit="1" customWidth="1"/>
    <col min="9483" max="9483" width="4.5703125" style="104" customWidth="1"/>
    <col min="9484" max="9484" width="21.140625" style="104" customWidth="1"/>
    <col min="9485" max="9485" width="19.42578125" style="104" customWidth="1"/>
    <col min="9486" max="9486" width="28.85546875" style="104" bestFit="1" customWidth="1"/>
    <col min="9487" max="9487" width="3.140625" style="104" customWidth="1"/>
    <col min="9488" max="9488" width="21.85546875" style="104" customWidth="1"/>
    <col min="9489" max="9489" width="11.42578125" style="104" customWidth="1"/>
    <col min="9490" max="9490" width="20.5703125" style="104" bestFit="1" customWidth="1"/>
    <col min="9491" max="9728" width="11.42578125" style="104"/>
    <col min="9729" max="9729" width="4.5703125" style="104" customWidth="1"/>
    <col min="9730" max="9730" width="7.85546875" style="104" customWidth="1"/>
    <col min="9731" max="9731" width="1.85546875" style="104" customWidth="1"/>
    <col min="9732" max="9732" width="56" style="104" customWidth="1"/>
    <col min="9733" max="9733" width="37.42578125" style="104" customWidth="1"/>
    <col min="9734" max="9734" width="26.140625" style="104" customWidth="1"/>
    <col min="9735" max="9735" width="20.5703125" style="104" customWidth="1"/>
    <col min="9736" max="9736" width="18.85546875" style="104" customWidth="1"/>
    <col min="9737" max="9737" width="9.85546875" style="104" customWidth="1"/>
    <col min="9738" max="9738" width="21.85546875" style="104" bestFit="1" customWidth="1"/>
    <col min="9739" max="9739" width="4.5703125" style="104" customWidth="1"/>
    <col min="9740" max="9740" width="21.140625" style="104" customWidth="1"/>
    <col min="9741" max="9741" width="19.42578125" style="104" customWidth="1"/>
    <col min="9742" max="9742" width="28.85546875" style="104" bestFit="1" customWidth="1"/>
    <col min="9743" max="9743" width="3.140625" style="104" customWidth="1"/>
    <col min="9744" max="9744" width="21.85546875" style="104" customWidth="1"/>
    <col min="9745" max="9745" width="11.42578125" style="104" customWidth="1"/>
    <col min="9746" max="9746" width="20.5703125" style="104" bestFit="1" customWidth="1"/>
    <col min="9747" max="9984" width="11.42578125" style="104"/>
    <col min="9985" max="9985" width="4.5703125" style="104" customWidth="1"/>
    <col min="9986" max="9986" width="7.85546875" style="104" customWidth="1"/>
    <col min="9987" max="9987" width="1.85546875" style="104" customWidth="1"/>
    <col min="9988" max="9988" width="56" style="104" customWidth="1"/>
    <col min="9989" max="9989" width="37.42578125" style="104" customWidth="1"/>
    <col min="9990" max="9990" width="26.140625" style="104" customWidth="1"/>
    <col min="9991" max="9991" width="20.5703125" style="104" customWidth="1"/>
    <col min="9992" max="9992" width="18.85546875" style="104" customWidth="1"/>
    <col min="9993" max="9993" width="9.85546875" style="104" customWidth="1"/>
    <col min="9994" max="9994" width="21.85546875" style="104" bestFit="1" customWidth="1"/>
    <col min="9995" max="9995" width="4.5703125" style="104" customWidth="1"/>
    <col min="9996" max="9996" width="21.140625" style="104" customWidth="1"/>
    <col min="9997" max="9997" width="19.42578125" style="104" customWidth="1"/>
    <col min="9998" max="9998" width="28.85546875" style="104" bestFit="1" customWidth="1"/>
    <col min="9999" max="9999" width="3.140625" style="104" customWidth="1"/>
    <col min="10000" max="10000" width="21.85546875" style="104" customWidth="1"/>
    <col min="10001" max="10001" width="11.42578125" style="104" customWidth="1"/>
    <col min="10002" max="10002" width="20.5703125" style="104" bestFit="1" customWidth="1"/>
    <col min="10003" max="10240" width="11.42578125" style="104"/>
    <col min="10241" max="10241" width="4.5703125" style="104" customWidth="1"/>
    <col min="10242" max="10242" width="7.85546875" style="104" customWidth="1"/>
    <col min="10243" max="10243" width="1.85546875" style="104" customWidth="1"/>
    <col min="10244" max="10244" width="56" style="104" customWidth="1"/>
    <col min="10245" max="10245" width="37.42578125" style="104" customWidth="1"/>
    <col min="10246" max="10246" width="26.140625" style="104" customWidth="1"/>
    <col min="10247" max="10247" width="20.5703125" style="104" customWidth="1"/>
    <col min="10248" max="10248" width="18.85546875" style="104" customWidth="1"/>
    <col min="10249" max="10249" width="9.85546875" style="104" customWidth="1"/>
    <col min="10250" max="10250" width="21.85546875" style="104" bestFit="1" customWidth="1"/>
    <col min="10251" max="10251" width="4.5703125" style="104" customWidth="1"/>
    <col min="10252" max="10252" width="21.140625" style="104" customWidth="1"/>
    <col min="10253" max="10253" width="19.42578125" style="104" customWidth="1"/>
    <col min="10254" max="10254" width="28.85546875" style="104" bestFit="1" customWidth="1"/>
    <col min="10255" max="10255" width="3.140625" style="104" customWidth="1"/>
    <col min="10256" max="10256" width="21.85546875" style="104" customWidth="1"/>
    <col min="10257" max="10257" width="11.42578125" style="104" customWidth="1"/>
    <col min="10258" max="10258" width="20.5703125" style="104" bestFit="1" customWidth="1"/>
    <col min="10259" max="10496" width="11.42578125" style="104"/>
    <col min="10497" max="10497" width="4.5703125" style="104" customWidth="1"/>
    <col min="10498" max="10498" width="7.85546875" style="104" customWidth="1"/>
    <col min="10499" max="10499" width="1.85546875" style="104" customWidth="1"/>
    <col min="10500" max="10500" width="56" style="104" customWidth="1"/>
    <col min="10501" max="10501" width="37.42578125" style="104" customWidth="1"/>
    <col min="10502" max="10502" width="26.140625" style="104" customWidth="1"/>
    <col min="10503" max="10503" width="20.5703125" style="104" customWidth="1"/>
    <col min="10504" max="10504" width="18.85546875" style="104" customWidth="1"/>
    <col min="10505" max="10505" width="9.85546875" style="104" customWidth="1"/>
    <col min="10506" max="10506" width="21.85546875" style="104" bestFit="1" customWidth="1"/>
    <col min="10507" max="10507" width="4.5703125" style="104" customWidth="1"/>
    <col min="10508" max="10508" width="21.140625" style="104" customWidth="1"/>
    <col min="10509" max="10509" width="19.42578125" style="104" customWidth="1"/>
    <col min="10510" max="10510" width="28.85546875" style="104" bestFit="1" customWidth="1"/>
    <col min="10511" max="10511" width="3.140625" style="104" customWidth="1"/>
    <col min="10512" max="10512" width="21.85546875" style="104" customWidth="1"/>
    <col min="10513" max="10513" width="11.42578125" style="104" customWidth="1"/>
    <col min="10514" max="10514" width="20.5703125" style="104" bestFit="1" customWidth="1"/>
    <col min="10515" max="10752" width="11.42578125" style="104"/>
    <col min="10753" max="10753" width="4.5703125" style="104" customWidth="1"/>
    <col min="10754" max="10754" width="7.85546875" style="104" customWidth="1"/>
    <col min="10755" max="10755" width="1.85546875" style="104" customWidth="1"/>
    <col min="10756" max="10756" width="56" style="104" customWidth="1"/>
    <col min="10757" max="10757" width="37.42578125" style="104" customWidth="1"/>
    <col min="10758" max="10758" width="26.140625" style="104" customWidth="1"/>
    <col min="10759" max="10759" width="20.5703125" style="104" customWidth="1"/>
    <col min="10760" max="10760" width="18.85546875" style="104" customWidth="1"/>
    <col min="10761" max="10761" width="9.85546875" style="104" customWidth="1"/>
    <col min="10762" max="10762" width="21.85546875" style="104" bestFit="1" customWidth="1"/>
    <col min="10763" max="10763" width="4.5703125" style="104" customWidth="1"/>
    <col min="10764" max="10764" width="21.140625" style="104" customWidth="1"/>
    <col min="10765" max="10765" width="19.42578125" style="104" customWidth="1"/>
    <col min="10766" max="10766" width="28.85546875" style="104" bestFit="1" customWidth="1"/>
    <col min="10767" max="10767" width="3.140625" style="104" customWidth="1"/>
    <col min="10768" max="10768" width="21.85546875" style="104" customWidth="1"/>
    <col min="10769" max="10769" width="11.42578125" style="104" customWidth="1"/>
    <col min="10770" max="10770" width="20.5703125" style="104" bestFit="1" customWidth="1"/>
    <col min="10771" max="11008" width="11.42578125" style="104"/>
    <col min="11009" max="11009" width="4.5703125" style="104" customWidth="1"/>
    <col min="11010" max="11010" width="7.85546875" style="104" customWidth="1"/>
    <col min="11011" max="11011" width="1.85546875" style="104" customWidth="1"/>
    <col min="11012" max="11012" width="56" style="104" customWidth="1"/>
    <col min="11013" max="11013" width="37.42578125" style="104" customWidth="1"/>
    <col min="11014" max="11014" width="26.140625" style="104" customWidth="1"/>
    <col min="11015" max="11015" width="20.5703125" style="104" customWidth="1"/>
    <col min="11016" max="11016" width="18.85546875" style="104" customWidth="1"/>
    <col min="11017" max="11017" width="9.85546875" style="104" customWidth="1"/>
    <col min="11018" max="11018" width="21.85546875" style="104" bestFit="1" customWidth="1"/>
    <col min="11019" max="11019" width="4.5703125" style="104" customWidth="1"/>
    <col min="11020" max="11020" width="21.140625" style="104" customWidth="1"/>
    <col min="11021" max="11021" width="19.42578125" style="104" customWidth="1"/>
    <col min="11022" max="11022" width="28.85546875" style="104" bestFit="1" customWidth="1"/>
    <col min="11023" max="11023" width="3.140625" style="104" customWidth="1"/>
    <col min="11024" max="11024" width="21.85546875" style="104" customWidth="1"/>
    <col min="11025" max="11025" width="11.42578125" style="104" customWidth="1"/>
    <col min="11026" max="11026" width="20.5703125" style="104" bestFit="1" customWidth="1"/>
    <col min="11027" max="11264" width="11.42578125" style="104"/>
    <col min="11265" max="11265" width="4.5703125" style="104" customWidth="1"/>
    <col min="11266" max="11266" width="7.85546875" style="104" customWidth="1"/>
    <col min="11267" max="11267" width="1.85546875" style="104" customWidth="1"/>
    <col min="11268" max="11268" width="56" style="104" customWidth="1"/>
    <col min="11269" max="11269" width="37.42578125" style="104" customWidth="1"/>
    <col min="11270" max="11270" width="26.140625" style="104" customWidth="1"/>
    <col min="11271" max="11271" width="20.5703125" style="104" customWidth="1"/>
    <col min="11272" max="11272" width="18.85546875" style="104" customWidth="1"/>
    <col min="11273" max="11273" width="9.85546875" style="104" customWidth="1"/>
    <col min="11274" max="11274" width="21.85546875" style="104" bestFit="1" customWidth="1"/>
    <col min="11275" max="11275" width="4.5703125" style="104" customWidth="1"/>
    <col min="11276" max="11276" width="21.140625" style="104" customWidth="1"/>
    <col min="11277" max="11277" width="19.42578125" style="104" customWidth="1"/>
    <col min="11278" max="11278" width="28.85546875" style="104" bestFit="1" customWidth="1"/>
    <col min="11279" max="11279" width="3.140625" style="104" customWidth="1"/>
    <col min="11280" max="11280" width="21.85546875" style="104" customWidth="1"/>
    <col min="11281" max="11281" width="11.42578125" style="104" customWidth="1"/>
    <col min="11282" max="11282" width="20.5703125" style="104" bestFit="1" customWidth="1"/>
    <col min="11283" max="11520" width="11.42578125" style="104"/>
    <col min="11521" max="11521" width="4.5703125" style="104" customWidth="1"/>
    <col min="11522" max="11522" width="7.85546875" style="104" customWidth="1"/>
    <col min="11523" max="11523" width="1.85546875" style="104" customWidth="1"/>
    <col min="11524" max="11524" width="56" style="104" customWidth="1"/>
    <col min="11525" max="11525" width="37.42578125" style="104" customWidth="1"/>
    <col min="11526" max="11526" width="26.140625" style="104" customWidth="1"/>
    <col min="11527" max="11527" width="20.5703125" style="104" customWidth="1"/>
    <col min="11528" max="11528" width="18.85546875" style="104" customWidth="1"/>
    <col min="11529" max="11529" width="9.85546875" style="104" customWidth="1"/>
    <col min="11530" max="11530" width="21.85546875" style="104" bestFit="1" customWidth="1"/>
    <col min="11531" max="11531" width="4.5703125" style="104" customWidth="1"/>
    <col min="11532" max="11532" width="21.140625" style="104" customWidth="1"/>
    <col min="11533" max="11533" width="19.42578125" style="104" customWidth="1"/>
    <col min="11534" max="11534" width="28.85546875" style="104" bestFit="1" customWidth="1"/>
    <col min="11535" max="11535" width="3.140625" style="104" customWidth="1"/>
    <col min="11536" max="11536" width="21.85546875" style="104" customWidth="1"/>
    <col min="11537" max="11537" width="11.42578125" style="104" customWidth="1"/>
    <col min="11538" max="11538" width="20.5703125" style="104" bestFit="1" customWidth="1"/>
    <col min="11539" max="11776" width="11.42578125" style="104"/>
    <col min="11777" max="11777" width="4.5703125" style="104" customWidth="1"/>
    <col min="11778" max="11778" width="7.85546875" style="104" customWidth="1"/>
    <col min="11779" max="11779" width="1.85546875" style="104" customWidth="1"/>
    <col min="11780" max="11780" width="56" style="104" customWidth="1"/>
    <col min="11781" max="11781" width="37.42578125" style="104" customWidth="1"/>
    <col min="11782" max="11782" width="26.140625" style="104" customWidth="1"/>
    <col min="11783" max="11783" width="20.5703125" style="104" customWidth="1"/>
    <col min="11784" max="11784" width="18.85546875" style="104" customWidth="1"/>
    <col min="11785" max="11785" width="9.85546875" style="104" customWidth="1"/>
    <col min="11786" max="11786" width="21.85546875" style="104" bestFit="1" customWidth="1"/>
    <col min="11787" max="11787" width="4.5703125" style="104" customWidth="1"/>
    <col min="11788" max="11788" width="21.140625" style="104" customWidth="1"/>
    <col min="11789" max="11789" width="19.42578125" style="104" customWidth="1"/>
    <col min="11790" max="11790" width="28.85546875" style="104" bestFit="1" customWidth="1"/>
    <col min="11791" max="11791" width="3.140625" style="104" customWidth="1"/>
    <col min="11792" max="11792" width="21.85546875" style="104" customWidth="1"/>
    <col min="11793" max="11793" width="11.42578125" style="104" customWidth="1"/>
    <col min="11794" max="11794" width="20.5703125" style="104" bestFit="1" customWidth="1"/>
    <col min="11795" max="12032" width="11.42578125" style="104"/>
    <col min="12033" max="12033" width="4.5703125" style="104" customWidth="1"/>
    <col min="12034" max="12034" width="7.85546875" style="104" customWidth="1"/>
    <col min="12035" max="12035" width="1.85546875" style="104" customWidth="1"/>
    <col min="12036" max="12036" width="56" style="104" customWidth="1"/>
    <col min="12037" max="12037" width="37.42578125" style="104" customWidth="1"/>
    <col min="12038" max="12038" width="26.140625" style="104" customWidth="1"/>
    <col min="12039" max="12039" width="20.5703125" style="104" customWidth="1"/>
    <col min="12040" max="12040" width="18.85546875" style="104" customWidth="1"/>
    <col min="12041" max="12041" width="9.85546875" style="104" customWidth="1"/>
    <col min="12042" max="12042" width="21.85546875" style="104" bestFit="1" customWidth="1"/>
    <col min="12043" max="12043" width="4.5703125" style="104" customWidth="1"/>
    <col min="12044" max="12044" width="21.140625" style="104" customWidth="1"/>
    <col min="12045" max="12045" width="19.42578125" style="104" customWidth="1"/>
    <col min="12046" max="12046" width="28.85546875" style="104" bestFit="1" customWidth="1"/>
    <col min="12047" max="12047" width="3.140625" style="104" customWidth="1"/>
    <col min="12048" max="12048" width="21.85546875" style="104" customWidth="1"/>
    <col min="12049" max="12049" width="11.42578125" style="104" customWidth="1"/>
    <col min="12050" max="12050" width="20.5703125" style="104" bestFit="1" customWidth="1"/>
    <col min="12051" max="12288" width="11.42578125" style="104"/>
    <col min="12289" max="12289" width="4.5703125" style="104" customWidth="1"/>
    <col min="12290" max="12290" width="7.85546875" style="104" customWidth="1"/>
    <col min="12291" max="12291" width="1.85546875" style="104" customWidth="1"/>
    <col min="12292" max="12292" width="56" style="104" customWidth="1"/>
    <col min="12293" max="12293" width="37.42578125" style="104" customWidth="1"/>
    <col min="12294" max="12294" width="26.140625" style="104" customWidth="1"/>
    <col min="12295" max="12295" width="20.5703125" style="104" customWidth="1"/>
    <col min="12296" max="12296" width="18.85546875" style="104" customWidth="1"/>
    <col min="12297" max="12297" width="9.85546875" style="104" customWidth="1"/>
    <col min="12298" max="12298" width="21.85546875" style="104" bestFit="1" customWidth="1"/>
    <col min="12299" max="12299" width="4.5703125" style="104" customWidth="1"/>
    <col min="12300" max="12300" width="21.140625" style="104" customWidth="1"/>
    <col min="12301" max="12301" width="19.42578125" style="104" customWidth="1"/>
    <col min="12302" max="12302" width="28.85546875" style="104" bestFit="1" customWidth="1"/>
    <col min="12303" max="12303" width="3.140625" style="104" customWidth="1"/>
    <col min="12304" max="12304" width="21.85546875" style="104" customWidth="1"/>
    <col min="12305" max="12305" width="11.42578125" style="104" customWidth="1"/>
    <col min="12306" max="12306" width="20.5703125" style="104" bestFit="1" customWidth="1"/>
    <col min="12307" max="12544" width="11.42578125" style="104"/>
    <col min="12545" max="12545" width="4.5703125" style="104" customWidth="1"/>
    <col min="12546" max="12546" width="7.85546875" style="104" customWidth="1"/>
    <col min="12547" max="12547" width="1.85546875" style="104" customWidth="1"/>
    <col min="12548" max="12548" width="56" style="104" customWidth="1"/>
    <col min="12549" max="12549" width="37.42578125" style="104" customWidth="1"/>
    <col min="12550" max="12550" width="26.140625" style="104" customWidth="1"/>
    <col min="12551" max="12551" width="20.5703125" style="104" customWidth="1"/>
    <col min="12552" max="12552" width="18.85546875" style="104" customWidth="1"/>
    <col min="12553" max="12553" width="9.85546875" style="104" customWidth="1"/>
    <col min="12554" max="12554" width="21.85546875" style="104" bestFit="1" customWidth="1"/>
    <col min="12555" max="12555" width="4.5703125" style="104" customWidth="1"/>
    <col min="12556" max="12556" width="21.140625" style="104" customWidth="1"/>
    <col min="12557" max="12557" width="19.42578125" style="104" customWidth="1"/>
    <col min="12558" max="12558" width="28.85546875" style="104" bestFit="1" customWidth="1"/>
    <col min="12559" max="12559" width="3.140625" style="104" customWidth="1"/>
    <col min="12560" max="12560" width="21.85546875" style="104" customWidth="1"/>
    <col min="12561" max="12561" width="11.42578125" style="104" customWidth="1"/>
    <col min="12562" max="12562" width="20.5703125" style="104" bestFit="1" customWidth="1"/>
    <col min="12563" max="12800" width="11.42578125" style="104"/>
    <col min="12801" max="12801" width="4.5703125" style="104" customWidth="1"/>
    <col min="12802" max="12802" width="7.85546875" style="104" customWidth="1"/>
    <col min="12803" max="12803" width="1.85546875" style="104" customWidth="1"/>
    <col min="12804" max="12804" width="56" style="104" customWidth="1"/>
    <col min="12805" max="12805" width="37.42578125" style="104" customWidth="1"/>
    <col min="12806" max="12806" width="26.140625" style="104" customWidth="1"/>
    <col min="12807" max="12807" width="20.5703125" style="104" customWidth="1"/>
    <col min="12808" max="12808" width="18.85546875" style="104" customWidth="1"/>
    <col min="12809" max="12809" width="9.85546875" style="104" customWidth="1"/>
    <col min="12810" max="12810" width="21.85546875" style="104" bestFit="1" customWidth="1"/>
    <col min="12811" max="12811" width="4.5703125" style="104" customWidth="1"/>
    <col min="12812" max="12812" width="21.140625" style="104" customWidth="1"/>
    <col min="12813" max="12813" width="19.42578125" style="104" customWidth="1"/>
    <col min="12814" max="12814" width="28.85546875" style="104" bestFit="1" customWidth="1"/>
    <col min="12815" max="12815" width="3.140625" style="104" customWidth="1"/>
    <col min="12816" max="12816" width="21.85546875" style="104" customWidth="1"/>
    <col min="12817" max="12817" width="11.42578125" style="104" customWidth="1"/>
    <col min="12818" max="12818" width="20.5703125" style="104" bestFit="1" customWidth="1"/>
    <col min="12819" max="13056" width="11.42578125" style="104"/>
    <col min="13057" max="13057" width="4.5703125" style="104" customWidth="1"/>
    <col min="13058" max="13058" width="7.85546875" style="104" customWidth="1"/>
    <col min="13059" max="13059" width="1.85546875" style="104" customWidth="1"/>
    <col min="13060" max="13060" width="56" style="104" customWidth="1"/>
    <col min="13061" max="13061" width="37.42578125" style="104" customWidth="1"/>
    <col min="13062" max="13062" width="26.140625" style="104" customWidth="1"/>
    <col min="13063" max="13063" width="20.5703125" style="104" customWidth="1"/>
    <col min="13064" max="13064" width="18.85546875" style="104" customWidth="1"/>
    <col min="13065" max="13065" width="9.85546875" style="104" customWidth="1"/>
    <col min="13066" max="13066" width="21.85546875" style="104" bestFit="1" customWidth="1"/>
    <col min="13067" max="13067" width="4.5703125" style="104" customWidth="1"/>
    <col min="13068" max="13068" width="21.140625" style="104" customWidth="1"/>
    <col min="13069" max="13069" width="19.42578125" style="104" customWidth="1"/>
    <col min="13070" max="13070" width="28.85546875" style="104" bestFit="1" customWidth="1"/>
    <col min="13071" max="13071" width="3.140625" style="104" customWidth="1"/>
    <col min="13072" max="13072" width="21.85546875" style="104" customWidth="1"/>
    <col min="13073" max="13073" width="11.42578125" style="104" customWidth="1"/>
    <col min="13074" max="13074" width="20.5703125" style="104" bestFit="1" customWidth="1"/>
    <col min="13075" max="13312" width="11.42578125" style="104"/>
    <col min="13313" max="13313" width="4.5703125" style="104" customWidth="1"/>
    <col min="13314" max="13314" width="7.85546875" style="104" customWidth="1"/>
    <col min="13315" max="13315" width="1.85546875" style="104" customWidth="1"/>
    <col min="13316" max="13316" width="56" style="104" customWidth="1"/>
    <col min="13317" max="13317" width="37.42578125" style="104" customWidth="1"/>
    <col min="13318" max="13318" width="26.140625" style="104" customWidth="1"/>
    <col min="13319" max="13319" width="20.5703125" style="104" customWidth="1"/>
    <col min="13320" max="13320" width="18.85546875" style="104" customWidth="1"/>
    <col min="13321" max="13321" width="9.85546875" style="104" customWidth="1"/>
    <col min="13322" max="13322" width="21.85546875" style="104" bestFit="1" customWidth="1"/>
    <col min="13323" max="13323" width="4.5703125" style="104" customWidth="1"/>
    <col min="13324" max="13324" width="21.140625" style="104" customWidth="1"/>
    <col min="13325" max="13325" width="19.42578125" style="104" customWidth="1"/>
    <col min="13326" max="13326" width="28.85546875" style="104" bestFit="1" customWidth="1"/>
    <col min="13327" max="13327" width="3.140625" style="104" customWidth="1"/>
    <col min="13328" max="13328" width="21.85546875" style="104" customWidth="1"/>
    <col min="13329" max="13329" width="11.42578125" style="104" customWidth="1"/>
    <col min="13330" max="13330" width="20.5703125" style="104" bestFit="1" customWidth="1"/>
    <col min="13331" max="13568" width="11.42578125" style="104"/>
    <col min="13569" max="13569" width="4.5703125" style="104" customWidth="1"/>
    <col min="13570" max="13570" width="7.85546875" style="104" customWidth="1"/>
    <col min="13571" max="13571" width="1.85546875" style="104" customWidth="1"/>
    <col min="13572" max="13572" width="56" style="104" customWidth="1"/>
    <col min="13573" max="13573" width="37.42578125" style="104" customWidth="1"/>
    <col min="13574" max="13574" width="26.140625" style="104" customWidth="1"/>
    <col min="13575" max="13575" width="20.5703125" style="104" customWidth="1"/>
    <col min="13576" max="13576" width="18.85546875" style="104" customWidth="1"/>
    <col min="13577" max="13577" width="9.85546875" style="104" customWidth="1"/>
    <col min="13578" max="13578" width="21.85546875" style="104" bestFit="1" customWidth="1"/>
    <col min="13579" max="13579" width="4.5703125" style="104" customWidth="1"/>
    <col min="13580" max="13580" width="21.140625" style="104" customWidth="1"/>
    <col min="13581" max="13581" width="19.42578125" style="104" customWidth="1"/>
    <col min="13582" max="13582" width="28.85546875" style="104" bestFit="1" customWidth="1"/>
    <col min="13583" max="13583" width="3.140625" style="104" customWidth="1"/>
    <col min="13584" max="13584" width="21.85546875" style="104" customWidth="1"/>
    <col min="13585" max="13585" width="11.42578125" style="104" customWidth="1"/>
    <col min="13586" max="13586" width="20.5703125" style="104" bestFit="1" customWidth="1"/>
    <col min="13587" max="13824" width="11.42578125" style="104"/>
    <col min="13825" max="13825" width="4.5703125" style="104" customWidth="1"/>
    <col min="13826" max="13826" width="7.85546875" style="104" customWidth="1"/>
    <col min="13827" max="13827" width="1.85546875" style="104" customWidth="1"/>
    <col min="13828" max="13828" width="56" style="104" customWidth="1"/>
    <col min="13829" max="13829" width="37.42578125" style="104" customWidth="1"/>
    <col min="13830" max="13830" width="26.140625" style="104" customWidth="1"/>
    <col min="13831" max="13831" width="20.5703125" style="104" customWidth="1"/>
    <col min="13832" max="13832" width="18.85546875" style="104" customWidth="1"/>
    <col min="13833" max="13833" width="9.85546875" style="104" customWidth="1"/>
    <col min="13834" max="13834" width="21.85546875" style="104" bestFit="1" customWidth="1"/>
    <col min="13835" max="13835" width="4.5703125" style="104" customWidth="1"/>
    <col min="13836" max="13836" width="21.140625" style="104" customWidth="1"/>
    <col min="13837" max="13837" width="19.42578125" style="104" customWidth="1"/>
    <col min="13838" max="13838" width="28.85546875" style="104" bestFit="1" customWidth="1"/>
    <col min="13839" max="13839" width="3.140625" style="104" customWidth="1"/>
    <col min="13840" max="13840" width="21.85546875" style="104" customWidth="1"/>
    <col min="13841" max="13841" width="11.42578125" style="104" customWidth="1"/>
    <col min="13842" max="13842" width="20.5703125" style="104" bestFit="1" customWidth="1"/>
    <col min="13843" max="14080" width="11.42578125" style="104"/>
    <col min="14081" max="14081" width="4.5703125" style="104" customWidth="1"/>
    <col min="14082" max="14082" width="7.85546875" style="104" customWidth="1"/>
    <col min="14083" max="14083" width="1.85546875" style="104" customWidth="1"/>
    <col min="14084" max="14084" width="56" style="104" customWidth="1"/>
    <col min="14085" max="14085" width="37.42578125" style="104" customWidth="1"/>
    <col min="14086" max="14086" width="26.140625" style="104" customWidth="1"/>
    <col min="14087" max="14087" width="20.5703125" style="104" customWidth="1"/>
    <col min="14088" max="14088" width="18.85546875" style="104" customWidth="1"/>
    <col min="14089" max="14089" width="9.85546875" style="104" customWidth="1"/>
    <col min="14090" max="14090" width="21.85546875" style="104" bestFit="1" customWidth="1"/>
    <col min="14091" max="14091" width="4.5703125" style="104" customWidth="1"/>
    <col min="14092" max="14092" width="21.140625" style="104" customWidth="1"/>
    <col min="14093" max="14093" width="19.42578125" style="104" customWidth="1"/>
    <col min="14094" max="14094" width="28.85546875" style="104" bestFit="1" customWidth="1"/>
    <col min="14095" max="14095" width="3.140625" style="104" customWidth="1"/>
    <col min="14096" max="14096" width="21.85546875" style="104" customWidth="1"/>
    <col min="14097" max="14097" width="11.42578125" style="104" customWidth="1"/>
    <col min="14098" max="14098" width="20.5703125" style="104" bestFit="1" customWidth="1"/>
    <col min="14099" max="14336" width="11.42578125" style="104"/>
    <col min="14337" max="14337" width="4.5703125" style="104" customWidth="1"/>
    <col min="14338" max="14338" width="7.85546875" style="104" customWidth="1"/>
    <col min="14339" max="14339" width="1.85546875" style="104" customWidth="1"/>
    <col min="14340" max="14340" width="56" style="104" customWidth="1"/>
    <col min="14341" max="14341" width="37.42578125" style="104" customWidth="1"/>
    <col min="14342" max="14342" width="26.140625" style="104" customWidth="1"/>
    <col min="14343" max="14343" width="20.5703125" style="104" customWidth="1"/>
    <col min="14344" max="14344" width="18.85546875" style="104" customWidth="1"/>
    <col min="14345" max="14345" width="9.85546875" style="104" customWidth="1"/>
    <col min="14346" max="14346" width="21.85546875" style="104" bestFit="1" customWidth="1"/>
    <col min="14347" max="14347" width="4.5703125" style="104" customWidth="1"/>
    <col min="14348" max="14348" width="21.140625" style="104" customWidth="1"/>
    <col min="14349" max="14349" width="19.42578125" style="104" customWidth="1"/>
    <col min="14350" max="14350" width="28.85546875" style="104" bestFit="1" customWidth="1"/>
    <col min="14351" max="14351" width="3.140625" style="104" customWidth="1"/>
    <col min="14352" max="14352" width="21.85546875" style="104" customWidth="1"/>
    <col min="14353" max="14353" width="11.42578125" style="104" customWidth="1"/>
    <col min="14354" max="14354" width="20.5703125" style="104" bestFit="1" customWidth="1"/>
    <col min="14355" max="14592" width="11.42578125" style="104"/>
    <col min="14593" max="14593" width="4.5703125" style="104" customWidth="1"/>
    <col min="14594" max="14594" width="7.85546875" style="104" customWidth="1"/>
    <col min="14595" max="14595" width="1.85546875" style="104" customWidth="1"/>
    <col min="14596" max="14596" width="56" style="104" customWidth="1"/>
    <col min="14597" max="14597" width="37.42578125" style="104" customWidth="1"/>
    <col min="14598" max="14598" width="26.140625" style="104" customWidth="1"/>
    <col min="14599" max="14599" width="20.5703125" style="104" customWidth="1"/>
    <col min="14600" max="14600" width="18.85546875" style="104" customWidth="1"/>
    <col min="14601" max="14601" width="9.85546875" style="104" customWidth="1"/>
    <col min="14602" max="14602" width="21.85546875" style="104" bestFit="1" customWidth="1"/>
    <col min="14603" max="14603" width="4.5703125" style="104" customWidth="1"/>
    <col min="14604" max="14604" width="21.140625" style="104" customWidth="1"/>
    <col min="14605" max="14605" width="19.42578125" style="104" customWidth="1"/>
    <col min="14606" max="14606" width="28.85546875" style="104" bestFit="1" customWidth="1"/>
    <col min="14607" max="14607" width="3.140625" style="104" customWidth="1"/>
    <col min="14608" max="14608" width="21.85546875" style="104" customWidth="1"/>
    <col min="14609" max="14609" width="11.42578125" style="104" customWidth="1"/>
    <col min="14610" max="14610" width="20.5703125" style="104" bestFit="1" customWidth="1"/>
    <col min="14611" max="14848" width="11.42578125" style="104"/>
    <col min="14849" max="14849" width="4.5703125" style="104" customWidth="1"/>
    <col min="14850" max="14850" width="7.85546875" style="104" customWidth="1"/>
    <col min="14851" max="14851" width="1.85546875" style="104" customWidth="1"/>
    <col min="14852" max="14852" width="56" style="104" customWidth="1"/>
    <col min="14853" max="14853" width="37.42578125" style="104" customWidth="1"/>
    <col min="14854" max="14854" width="26.140625" style="104" customWidth="1"/>
    <col min="14855" max="14855" width="20.5703125" style="104" customWidth="1"/>
    <col min="14856" max="14856" width="18.85546875" style="104" customWidth="1"/>
    <col min="14857" max="14857" width="9.85546875" style="104" customWidth="1"/>
    <col min="14858" max="14858" width="21.85546875" style="104" bestFit="1" customWidth="1"/>
    <col min="14859" max="14859" width="4.5703125" style="104" customWidth="1"/>
    <col min="14860" max="14860" width="21.140625" style="104" customWidth="1"/>
    <col min="14861" max="14861" width="19.42578125" style="104" customWidth="1"/>
    <col min="14862" max="14862" width="28.85546875" style="104" bestFit="1" customWidth="1"/>
    <col min="14863" max="14863" width="3.140625" style="104" customWidth="1"/>
    <col min="14864" max="14864" width="21.85546875" style="104" customWidth="1"/>
    <col min="14865" max="14865" width="11.42578125" style="104" customWidth="1"/>
    <col min="14866" max="14866" width="20.5703125" style="104" bestFit="1" customWidth="1"/>
    <col min="14867" max="15104" width="11.42578125" style="104"/>
    <col min="15105" max="15105" width="4.5703125" style="104" customWidth="1"/>
    <col min="15106" max="15106" width="7.85546875" style="104" customWidth="1"/>
    <col min="15107" max="15107" width="1.85546875" style="104" customWidth="1"/>
    <col min="15108" max="15108" width="56" style="104" customWidth="1"/>
    <col min="15109" max="15109" width="37.42578125" style="104" customWidth="1"/>
    <col min="15110" max="15110" width="26.140625" style="104" customWidth="1"/>
    <col min="15111" max="15111" width="20.5703125" style="104" customWidth="1"/>
    <col min="15112" max="15112" width="18.85546875" style="104" customWidth="1"/>
    <col min="15113" max="15113" width="9.85546875" style="104" customWidth="1"/>
    <col min="15114" max="15114" width="21.85546875" style="104" bestFit="1" customWidth="1"/>
    <col min="15115" max="15115" width="4.5703125" style="104" customWidth="1"/>
    <col min="15116" max="15116" width="21.140625" style="104" customWidth="1"/>
    <col min="15117" max="15117" width="19.42578125" style="104" customWidth="1"/>
    <col min="15118" max="15118" width="28.85546875" style="104" bestFit="1" customWidth="1"/>
    <col min="15119" max="15119" width="3.140625" style="104" customWidth="1"/>
    <col min="15120" max="15120" width="21.85546875" style="104" customWidth="1"/>
    <col min="15121" max="15121" width="11.42578125" style="104" customWidth="1"/>
    <col min="15122" max="15122" width="20.5703125" style="104" bestFit="1" customWidth="1"/>
    <col min="15123" max="15360" width="11.42578125" style="104"/>
    <col min="15361" max="15361" width="4.5703125" style="104" customWidth="1"/>
    <col min="15362" max="15362" width="7.85546875" style="104" customWidth="1"/>
    <col min="15363" max="15363" width="1.85546875" style="104" customWidth="1"/>
    <col min="15364" max="15364" width="56" style="104" customWidth="1"/>
    <col min="15365" max="15365" width="37.42578125" style="104" customWidth="1"/>
    <col min="15366" max="15366" width="26.140625" style="104" customWidth="1"/>
    <col min="15367" max="15367" width="20.5703125" style="104" customWidth="1"/>
    <col min="15368" max="15368" width="18.85546875" style="104" customWidth="1"/>
    <col min="15369" max="15369" width="9.85546875" style="104" customWidth="1"/>
    <col min="15370" max="15370" width="21.85546875" style="104" bestFit="1" customWidth="1"/>
    <col min="15371" max="15371" width="4.5703125" style="104" customWidth="1"/>
    <col min="15372" max="15372" width="21.140625" style="104" customWidth="1"/>
    <col min="15373" max="15373" width="19.42578125" style="104" customWidth="1"/>
    <col min="15374" max="15374" width="28.85546875" style="104" bestFit="1" customWidth="1"/>
    <col min="15375" max="15375" width="3.140625" style="104" customWidth="1"/>
    <col min="15376" max="15376" width="21.85546875" style="104" customWidth="1"/>
    <col min="15377" max="15377" width="11.42578125" style="104" customWidth="1"/>
    <col min="15378" max="15378" width="20.5703125" style="104" bestFit="1" customWidth="1"/>
    <col min="15379" max="15616" width="11.42578125" style="104"/>
    <col min="15617" max="15617" width="4.5703125" style="104" customWidth="1"/>
    <col min="15618" max="15618" width="7.85546875" style="104" customWidth="1"/>
    <col min="15619" max="15619" width="1.85546875" style="104" customWidth="1"/>
    <col min="15620" max="15620" width="56" style="104" customWidth="1"/>
    <col min="15621" max="15621" width="37.42578125" style="104" customWidth="1"/>
    <col min="15622" max="15622" width="26.140625" style="104" customWidth="1"/>
    <col min="15623" max="15623" width="20.5703125" style="104" customWidth="1"/>
    <col min="15624" max="15624" width="18.85546875" style="104" customWidth="1"/>
    <col min="15625" max="15625" width="9.85546875" style="104" customWidth="1"/>
    <col min="15626" max="15626" width="21.85546875" style="104" bestFit="1" customWidth="1"/>
    <col min="15627" max="15627" width="4.5703125" style="104" customWidth="1"/>
    <col min="15628" max="15628" width="21.140625" style="104" customWidth="1"/>
    <col min="15629" max="15629" width="19.42578125" style="104" customWidth="1"/>
    <col min="15630" max="15630" width="28.85546875" style="104" bestFit="1" customWidth="1"/>
    <col min="15631" max="15631" width="3.140625" style="104" customWidth="1"/>
    <col min="15632" max="15632" width="21.85546875" style="104" customWidth="1"/>
    <col min="15633" max="15633" width="11.42578125" style="104" customWidth="1"/>
    <col min="15634" max="15634" width="20.5703125" style="104" bestFit="1" customWidth="1"/>
    <col min="15635" max="15872" width="11.42578125" style="104"/>
    <col min="15873" max="15873" width="4.5703125" style="104" customWidth="1"/>
    <col min="15874" max="15874" width="7.85546875" style="104" customWidth="1"/>
    <col min="15875" max="15875" width="1.85546875" style="104" customWidth="1"/>
    <col min="15876" max="15876" width="56" style="104" customWidth="1"/>
    <col min="15877" max="15877" width="37.42578125" style="104" customWidth="1"/>
    <col min="15878" max="15878" width="26.140625" style="104" customWidth="1"/>
    <col min="15879" max="15879" width="20.5703125" style="104" customWidth="1"/>
    <col min="15880" max="15880" width="18.85546875" style="104" customWidth="1"/>
    <col min="15881" max="15881" width="9.85546875" style="104" customWidth="1"/>
    <col min="15882" max="15882" width="21.85546875" style="104" bestFit="1" customWidth="1"/>
    <col min="15883" max="15883" width="4.5703125" style="104" customWidth="1"/>
    <col min="15884" max="15884" width="21.140625" style="104" customWidth="1"/>
    <col min="15885" max="15885" width="19.42578125" style="104" customWidth="1"/>
    <col min="15886" max="15886" width="28.85546875" style="104" bestFit="1" customWidth="1"/>
    <col min="15887" max="15887" width="3.140625" style="104" customWidth="1"/>
    <col min="15888" max="15888" width="21.85546875" style="104" customWidth="1"/>
    <col min="15889" max="15889" width="11.42578125" style="104" customWidth="1"/>
    <col min="15890" max="15890" width="20.5703125" style="104" bestFit="1" customWidth="1"/>
    <col min="15891" max="16128" width="11.42578125" style="104"/>
    <col min="16129" max="16129" width="4.5703125" style="104" customWidth="1"/>
    <col min="16130" max="16130" width="7.85546875" style="104" customWidth="1"/>
    <col min="16131" max="16131" width="1.85546875" style="104" customWidth="1"/>
    <col min="16132" max="16132" width="56" style="104" customWidth="1"/>
    <col min="16133" max="16133" width="37.42578125" style="104" customWidth="1"/>
    <col min="16134" max="16134" width="26.140625" style="104" customWidth="1"/>
    <col min="16135" max="16135" width="20.5703125" style="104" customWidth="1"/>
    <col min="16136" max="16136" width="18.85546875" style="104" customWidth="1"/>
    <col min="16137" max="16137" width="9.85546875" style="104" customWidth="1"/>
    <col min="16138" max="16138" width="21.85546875" style="104" bestFit="1" customWidth="1"/>
    <col min="16139" max="16139" width="4.5703125" style="104" customWidth="1"/>
    <col min="16140" max="16140" width="21.140625" style="104" customWidth="1"/>
    <col min="16141" max="16141" width="19.42578125" style="104" customWidth="1"/>
    <col min="16142" max="16142" width="28.85546875" style="104" bestFit="1" customWidth="1"/>
    <col min="16143" max="16143" width="3.140625" style="104" customWidth="1"/>
    <col min="16144" max="16144" width="21.85546875" style="104" customWidth="1"/>
    <col min="16145" max="16145" width="11.42578125" style="104" customWidth="1"/>
    <col min="16146" max="16146" width="20.5703125" style="104" bestFit="1" customWidth="1"/>
    <col min="16147" max="16384" width="11.42578125" style="104"/>
  </cols>
  <sheetData>
    <row r="1" spans="2:16" ht="15.75">
      <c r="B1" s="336"/>
      <c r="C1" s="192"/>
      <c r="D1" s="318"/>
      <c r="E1" s="145"/>
      <c r="F1" s="145"/>
      <c r="G1" s="144"/>
      <c r="H1" s="192"/>
      <c r="I1" s="249"/>
      <c r="J1" s="249"/>
      <c r="K1" s="249"/>
      <c r="L1" s="120"/>
      <c r="M1" s="120"/>
      <c r="N1" s="409">
        <f>'[6]OKT Historic TCOS'!O1</f>
        <v>2017</v>
      </c>
    </row>
    <row r="2" spans="2:16" ht="15.75" thickBot="1">
      <c r="B2" s="336"/>
      <c r="C2" s="192"/>
      <c r="D2" s="120"/>
      <c r="E2" s="192"/>
      <c r="F2" s="192"/>
      <c r="G2" s="192"/>
      <c r="H2" s="192"/>
      <c r="I2" s="192"/>
      <c r="J2" s="192"/>
      <c r="K2" s="192"/>
      <c r="L2" s="192"/>
      <c r="M2" s="120"/>
      <c r="N2" s="409">
        <f>'[6]OKT Historic TCOS'!O2</f>
        <v>2018</v>
      </c>
    </row>
    <row r="3" spans="2:16">
      <c r="B3" s="336"/>
      <c r="C3" s="192"/>
      <c r="D3" s="119"/>
      <c r="E3" s="119"/>
      <c r="F3" s="408" t="s">
        <v>543</v>
      </c>
      <c r="G3" s="407"/>
      <c r="H3" s="404"/>
      <c r="J3" s="135"/>
      <c r="K3" s="138"/>
      <c r="L3" s="138"/>
      <c r="N3" s="483" t="s">
        <v>546</v>
      </c>
      <c r="O3" s="484"/>
      <c r="P3" s="485"/>
    </row>
    <row r="4" spans="2:16">
      <c r="B4" s="336"/>
      <c r="C4" s="192"/>
      <c r="D4" s="119"/>
      <c r="E4" s="139"/>
      <c r="F4" s="406" t="s">
        <v>542</v>
      </c>
      <c r="G4" s="404"/>
      <c r="H4" s="404"/>
      <c r="J4" s="139"/>
      <c r="K4" s="138"/>
      <c r="L4" s="138"/>
      <c r="N4" s="436" t="s">
        <v>547</v>
      </c>
      <c r="O4" s="437"/>
      <c r="P4" s="438">
        <v>42736</v>
      </c>
    </row>
    <row r="5" spans="2:16">
      <c r="B5" s="336"/>
      <c r="C5" s="192"/>
      <c r="D5" s="125"/>
      <c r="E5" s="138"/>
      <c r="F5" s="405" t="str">
        <f>"Utilizing Actual Cost Data for "&amp;'[6]OKT Historic TCOS'!O1&amp;" with Average Ratebase Balances"</f>
        <v>Utilizing Actual Cost Data for 2017 with Average Ratebase Balances</v>
      </c>
      <c r="G5" s="404"/>
      <c r="H5" s="404"/>
      <c r="J5" s="138"/>
      <c r="K5" s="138"/>
      <c r="L5" s="138"/>
      <c r="N5" s="439" t="s">
        <v>548</v>
      </c>
      <c r="O5" s="437"/>
      <c r="P5" s="438">
        <v>42890</v>
      </c>
    </row>
    <row r="6" spans="2:16" ht="15.75" thickBot="1">
      <c r="B6" s="134"/>
      <c r="C6" s="133"/>
      <c r="D6" s="125"/>
      <c r="H6" s="335"/>
      <c r="I6" s="335"/>
      <c r="J6" s="335"/>
      <c r="K6" s="335"/>
      <c r="L6" s="138"/>
      <c r="N6" s="440" t="s">
        <v>549</v>
      </c>
      <c r="O6" s="441"/>
      <c r="P6" s="442">
        <f>P5-P4</f>
        <v>154</v>
      </c>
    </row>
    <row r="7" spans="2:16" ht="15.75">
      <c r="B7" s="134"/>
      <c r="C7" s="133"/>
      <c r="D7" s="143"/>
      <c r="E7" s="125"/>
      <c r="F7" s="402" t="str">
        <f>'[6]OKT Historic TCOS'!F7</f>
        <v>AEP OKLAHOMA TRANSMISSION COMPANY, INC</v>
      </c>
      <c r="G7" s="401"/>
      <c r="H7" s="138"/>
      <c r="I7" s="138"/>
      <c r="J7" s="138"/>
      <c r="K7" s="138"/>
      <c r="L7" s="108"/>
      <c r="M7" s="108"/>
      <c r="N7" s="108"/>
    </row>
    <row r="8" spans="2:16">
      <c r="B8" s="134"/>
      <c r="C8" s="133"/>
      <c r="D8" s="125"/>
      <c r="E8" s="138"/>
      <c r="F8" s="400"/>
      <c r="G8" s="399"/>
      <c r="H8" s="138"/>
      <c r="I8" s="138"/>
      <c r="J8" s="138"/>
      <c r="K8" s="138"/>
      <c r="L8" s="108"/>
      <c r="M8" s="108"/>
      <c r="N8" s="108"/>
    </row>
    <row r="9" spans="2:16">
      <c r="B9" s="134" t="s">
        <v>541</v>
      </c>
      <c r="C9" s="133"/>
      <c r="D9" s="138"/>
      <c r="E9" s="138"/>
      <c r="F9" s="138"/>
      <c r="G9" s="399"/>
      <c r="H9" s="138"/>
      <c r="I9" s="138"/>
      <c r="J9" s="138"/>
      <c r="K9" s="138"/>
      <c r="L9" s="133" t="s">
        <v>455</v>
      </c>
      <c r="M9" s="108"/>
      <c r="N9" s="398" t="s">
        <v>540</v>
      </c>
      <c r="O9" s="151"/>
      <c r="P9" s="398" t="s">
        <v>539</v>
      </c>
    </row>
    <row r="10" spans="2:16" ht="15.75" thickBot="1">
      <c r="B10" s="243" t="s">
        <v>388</v>
      </c>
      <c r="C10" s="132"/>
      <c r="D10" s="138"/>
      <c r="E10" s="132"/>
      <c r="F10" s="138"/>
      <c r="G10" s="138"/>
      <c r="H10" s="138"/>
      <c r="I10" s="138"/>
      <c r="J10" s="138"/>
      <c r="K10" s="138"/>
      <c r="L10" s="394" t="s">
        <v>538</v>
      </c>
      <c r="M10" s="108"/>
      <c r="N10" s="171"/>
      <c r="O10" s="151"/>
      <c r="P10" s="171"/>
    </row>
    <row r="11" spans="2:16">
      <c r="B11" s="134">
        <v>1</v>
      </c>
      <c r="C11" s="133"/>
      <c r="D11" s="397" t="s">
        <v>537</v>
      </c>
      <c r="E11" s="125" t="str">
        <f>"(ln "&amp;B178&amp;")"</f>
        <v>(ln 106)</v>
      </c>
      <c r="F11" s="125"/>
      <c r="G11" s="392"/>
      <c r="H11" s="362"/>
      <c r="I11" s="138"/>
      <c r="J11" s="138"/>
      <c r="K11" s="138"/>
      <c r="L11" s="136">
        <f>+L178</f>
        <v>94393677.47398603</v>
      </c>
      <c r="M11" s="108"/>
      <c r="N11" s="396">
        <v>99924260.865928337</v>
      </c>
      <c r="O11" s="151"/>
      <c r="P11" s="396">
        <f t="shared" ref="P11:P49" si="0">IF(N11="","",N11-L11)</f>
        <v>5530583.3919423074</v>
      </c>
    </row>
    <row r="12" spans="2:16" ht="15.75" thickBot="1">
      <c r="B12" s="134"/>
      <c r="C12" s="133"/>
      <c r="E12" s="395"/>
      <c r="F12" s="131"/>
      <c r="G12" s="394" t="s">
        <v>372</v>
      </c>
      <c r="H12" s="139"/>
      <c r="I12" s="393" t="s">
        <v>520</v>
      </c>
      <c r="J12" s="393"/>
      <c r="K12" s="138"/>
      <c r="L12" s="392"/>
      <c r="M12" s="108"/>
      <c r="N12" s="391"/>
      <c r="O12" s="151"/>
      <c r="P12" s="391" t="str">
        <f t="shared" si="0"/>
        <v/>
      </c>
    </row>
    <row r="13" spans="2:16">
      <c r="B13" s="134">
        <f>+B11+1</f>
        <v>2</v>
      </c>
      <c r="C13" s="133"/>
      <c r="D13" s="373" t="s">
        <v>536</v>
      </c>
      <c r="E13" s="305" t="s">
        <v>535</v>
      </c>
      <c r="F13" s="131"/>
      <c r="G13" s="237"/>
      <c r="H13" s="131"/>
      <c r="I13" s="175"/>
      <c r="J13" s="214"/>
      <c r="K13" s="139"/>
      <c r="L13" s="387"/>
      <c r="M13" s="108"/>
      <c r="N13" s="386"/>
      <c r="O13" s="151"/>
      <c r="P13" s="386" t="str">
        <f t="shared" si="0"/>
        <v/>
      </c>
    </row>
    <row r="14" spans="2:16">
      <c r="B14" s="134">
        <f>+B13+1</f>
        <v>3</v>
      </c>
      <c r="C14" s="133"/>
      <c r="D14" s="135" t="s">
        <v>534</v>
      </c>
      <c r="E14" s="303" t="s">
        <v>532</v>
      </c>
      <c r="F14" s="131"/>
      <c r="G14" s="237">
        <f>+'[6]OKT WS H Rev Credits'!M46</f>
        <v>2313215.2200000137</v>
      </c>
      <c r="H14" s="131"/>
      <c r="I14" s="175" t="s">
        <v>269</v>
      </c>
      <c r="J14" s="214">
        <f>VLOOKUP(I14,PSO_TU_Allocators,2,FALSE)</f>
        <v>1</v>
      </c>
      <c r="K14" s="139"/>
      <c r="L14" s="387">
        <f>+J14*G14</f>
        <v>2313215.2200000137</v>
      </c>
      <c r="M14" s="108"/>
      <c r="N14" s="386">
        <v>2313215.2200000137</v>
      </c>
      <c r="O14" s="151"/>
      <c r="P14" s="386">
        <f t="shared" si="0"/>
        <v>0</v>
      </c>
    </row>
    <row r="15" spans="2:16">
      <c r="B15" s="134">
        <f>+B14+1</f>
        <v>4</v>
      </c>
      <c r="C15" s="133"/>
      <c r="D15" s="135" t="s">
        <v>533</v>
      </c>
      <c r="E15" s="303" t="s">
        <v>532</v>
      </c>
      <c r="F15" s="131"/>
      <c r="G15" s="390">
        <f>+'[6]OKT WS H Rev Credits'!M28</f>
        <v>2226132.9900000002</v>
      </c>
      <c r="H15" s="131"/>
      <c r="I15" s="175" t="s">
        <v>269</v>
      </c>
      <c r="J15" s="214">
        <f>VLOOKUP(I15,PSO_TU_Allocators,2,FALSE)</f>
        <v>1</v>
      </c>
      <c r="K15" s="139"/>
      <c r="L15" s="389">
        <f>+J15*G15</f>
        <v>2226132.9900000002</v>
      </c>
      <c r="M15" s="108"/>
      <c r="N15" s="388">
        <v>2226132.9900000002</v>
      </c>
      <c r="O15" s="151"/>
      <c r="P15" s="388">
        <f t="shared" si="0"/>
        <v>0</v>
      </c>
    </row>
    <row r="16" spans="2:16">
      <c r="B16" s="134">
        <f>+B15+1</f>
        <v>5</v>
      </c>
      <c r="C16" s="133"/>
      <c r="D16" s="135" t="s">
        <v>531</v>
      </c>
      <c r="E16" s="138"/>
      <c r="F16" s="131"/>
      <c r="G16" s="237">
        <f>+G14+G15</f>
        <v>4539348.2100000139</v>
      </c>
      <c r="H16" s="131"/>
      <c r="I16" s="175"/>
      <c r="J16" s="214"/>
      <c r="K16" s="139"/>
      <c r="L16" s="387">
        <f>+L15+L14</f>
        <v>4539348.2100000139</v>
      </c>
      <c r="M16" s="108"/>
      <c r="N16" s="386">
        <v>4539348.2100000139</v>
      </c>
      <c r="O16" s="151"/>
      <c r="P16" s="386">
        <f t="shared" si="0"/>
        <v>0</v>
      </c>
    </row>
    <row r="17" spans="2:16">
      <c r="B17" s="134"/>
      <c r="C17" s="133"/>
      <c r="D17" s="373"/>
      <c r="F17" s="139"/>
      <c r="L17" s="385"/>
      <c r="M17" s="108"/>
      <c r="N17" s="384"/>
      <c r="O17" s="151"/>
      <c r="P17" s="384" t="str">
        <f t="shared" si="0"/>
        <v/>
      </c>
    </row>
    <row r="18" spans="2:16" ht="30.75" thickBot="1">
      <c r="B18" s="115">
        <f>+B16+1</f>
        <v>6</v>
      </c>
      <c r="C18" s="114"/>
      <c r="D18" s="383" t="s">
        <v>530</v>
      </c>
      <c r="E18" s="305" t="str">
        <f>"(ln "&amp;B11&amp;" less ln " &amp;B16&amp;")"</f>
        <v>(ln 1 less ln 5)</v>
      </c>
      <c r="F18" s="138"/>
      <c r="H18" s="139"/>
      <c r="I18" s="204"/>
      <c r="J18" s="139"/>
      <c r="K18" s="139"/>
      <c r="L18" s="382">
        <f>+L11-L16</f>
        <v>89854329.263986021</v>
      </c>
      <c r="M18" s="108"/>
      <c r="N18" s="381">
        <v>95384912.655928329</v>
      </c>
      <c r="O18" s="151"/>
      <c r="P18" s="381">
        <f t="shared" si="0"/>
        <v>5530583.3919423074</v>
      </c>
    </row>
    <row r="19" spans="2:16" ht="15.75" thickTop="1">
      <c r="B19" s="115"/>
      <c r="C19" s="114"/>
      <c r="D19" s="373"/>
      <c r="E19" s="303"/>
      <c r="F19" s="138"/>
      <c r="H19" s="139"/>
      <c r="I19" s="204"/>
      <c r="J19" s="139"/>
      <c r="K19" s="139"/>
      <c r="L19" s="380"/>
      <c r="M19" s="108"/>
      <c r="N19" s="377"/>
      <c r="O19" s="151"/>
      <c r="P19" s="377" t="str">
        <f t="shared" si="0"/>
        <v/>
      </c>
    </row>
    <row r="20" spans="2:16" ht="15" customHeight="1">
      <c r="B20" s="479" t="str">
        <f>"MEMO:  The Carrying Charge Calculations on lines "&amp;B26&amp;" to "&amp;B33&amp;" below is used in calculating project revenue requirements billed on SPP Schedule 11.  The total non-incentive revenue requirements for these projects shown on line "&amp;B23&amp;" is included in the total on line "&amp;B18&amp;"."</f>
        <v>MEMO:  The Carrying Charge Calculations on lines 9 to 14 below is used in calculating project revenue requirements billed on SPP Schedule 11.  The total non-incentive revenue requirements for these projects shown on line 7 is included in the total on line 6.</v>
      </c>
      <c r="C20" s="479"/>
      <c r="D20" s="479"/>
      <c r="E20" s="479"/>
      <c r="F20" s="479"/>
      <c r="G20" s="479"/>
      <c r="H20" s="479"/>
      <c r="I20" s="479"/>
      <c r="J20" s="108"/>
      <c r="M20" s="108"/>
      <c r="N20" s="151"/>
      <c r="O20" s="151"/>
      <c r="P20" s="151" t="str">
        <f t="shared" si="0"/>
        <v/>
      </c>
    </row>
    <row r="21" spans="2:16" ht="15" customHeight="1">
      <c r="B21" s="479"/>
      <c r="C21" s="479"/>
      <c r="D21" s="479"/>
      <c r="E21" s="479"/>
      <c r="F21" s="479"/>
      <c r="G21" s="479"/>
      <c r="H21" s="479"/>
      <c r="I21" s="479"/>
      <c r="J21" s="108"/>
      <c r="K21" s="108"/>
      <c r="L21" s="108"/>
      <c r="M21" s="108"/>
      <c r="N21" s="317"/>
      <c r="O21" s="151"/>
      <c r="P21" s="317" t="str">
        <f t="shared" si="0"/>
        <v/>
      </c>
    </row>
    <row r="22" spans="2:16" ht="15" customHeight="1">
      <c r="B22" s="379"/>
      <c r="C22" s="379"/>
      <c r="D22" s="379"/>
      <c r="E22" s="379"/>
      <c r="F22" s="379"/>
      <c r="G22" s="379"/>
      <c r="H22" s="379"/>
      <c r="I22" s="379"/>
      <c r="M22" s="108"/>
      <c r="N22" s="151"/>
      <c r="O22" s="151"/>
      <c r="P22" s="151" t="str">
        <f t="shared" si="0"/>
        <v/>
      </c>
    </row>
    <row r="23" spans="2:16">
      <c r="B23" s="134">
        <f>+B18+1</f>
        <v>7</v>
      </c>
      <c r="C23" s="114"/>
      <c r="D23" s="480" t="s">
        <v>529</v>
      </c>
      <c r="E23" s="474"/>
      <c r="F23" s="131"/>
      <c r="G23" s="154">
        <f>+'[6]OKT WS G BPU ATRR True-up'!N18</f>
        <v>30557710.372455016</v>
      </c>
      <c r="H23" s="131"/>
      <c r="I23" s="175" t="s">
        <v>269</v>
      </c>
      <c r="J23" s="214">
        <f>VLOOKUP(I23,PSO_TU_Allocators,2,FALSE)</f>
        <v>1</v>
      </c>
      <c r="K23" s="125"/>
      <c r="L23" s="378">
        <f>+J23*G23</f>
        <v>30557710.372455016</v>
      </c>
      <c r="M23" s="108"/>
      <c r="N23" s="377">
        <v>30557710.372455016</v>
      </c>
      <c r="O23" s="151"/>
      <c r="P23" s="377">
        <f t="shared" si="0"/>
        <v>0</v>
      </c>
    </row>
    <row r="24" spans="2:16">
      <c r="B24" s="134"/>
      <c r="C24" s="114"/>
      <c r="D24" s="474"/>
      <c r="E24" s="474"/>
      <c r="F24" s="131"/>
      <c r="G24" s="154"/>
      <c r="H24" s="131"/>
      <c r="I24" s="131"/>
      <c r="J24" s="214"/>
      <c r="K24" s="125"/>
      <c r="L24" s="378"/>
      <c r="M24" s="108"/>
      <c r="N24" s="377"/>
      <c r="O24" s="151"/>
      <c r="P24" s="377" t="str">
        <f t="shared" si="0"/>
        <v/>
      </c>
    </row>
    <row r="25" spans="2:16">
      <c r="B25" s="115">
        <f>+B23+1</f>
        <v>8</v>
      </c>
      <c r="C25" s="114"/>
      <c r="D25" s="373" t="s">
        <v>528</v>
      </c>
      <c r="E25" s="305"/>
      <c r="F25" s="138"/>
      <c r="G25" s="376"/>
      <c r="H25" s="138"/>
      <c r="I25" s="192"/>
      <c r="J25" s="138"/>
      <c r="K25" s="138"/>
      <c r="M25" s="108"/>
      <c r="N25" s="151"/>
      <c r="O25" s="151"/>
      <c r="P25" s="151" t="str">
        <f t="shared" si="0"/>
        <v/>
      </c>
    </row>
    <row r="26" spans="2:16">
      <c r="B26" s="134">
        <f>B25+1</f>
        <v>9</v>
      </c>
      <c r="C26" s="114"/>
      <c r="D26" s="135" t="s">
        <v>526</v>
      </c>
      <c r="E26" s="125" t="str">
        <f>"(ln "&amp;B11&amp;"/ ln "&amp;B79&amp;" x 100%)"</f>
        <v>(ln 1/ ln 39 x 100%)</v>
      </c>
      <c r="F26" s="133"/>
      <c r="G26" s="133"/>
      <c r="H26" s="133"/>
      <c r="I26" s="365"/>
      <c r="J26" s="365"/>
      <c r="K26" s="365"/>
      <c r="L26" s="364">
        <f>IF(L79=0,0,(L11)/L79)</f>
        <v>0.14403269403190197</v>
      </c>
      <c r="M26" s="108"/>
      <c r="N26" s="363">
        <v>0.14376903464279511</v>
      </c>
      <c r="O26" s="151"/>
      <c r="P26" s="363">
        <f t="shared" si="0"/>
        <v>-2.6365938910685727E-4</v>
      </c>
    </row>
    <row r="27" spans="2:16">
      <c r="B27" s="134">
        <f>B26+1</f>
        <v>10</v>
      </c>
      <c r="C27" s="114"/>
      <c r="D27" s="135" t="s">
        <v>527</v>
      </c>
      <c r="E27" s="125" t="str">
        <f>"(ln "&amp;B26&amp;" / 12)"</f>
        <v>(ln 9 / 12)</v>
      </c>
      <c r="F27" s="133"/>
      <c r="G27" s="133"/>
      <c r="H27" s="133"/>
      <c r="I27" s="365"/>
      <c r="J27" s="365"/>
      <c r="K27" s="365"/>
      <c r="L27" s="375">
        <f>L26/12</f>
        <v>1.2002724502658497E-2</v>
      </c>
      <c r="M27" s="108"/>
      <c r="N27" s="374">
        <v>1.1980752886899593E-2</v>
      </c>
      <c r="O27" s="151"/>
      <c r="P27" s="374">
        <f t="shared" si="0"/>
        <v>-2.1971615758904772E-5</v>
      </c>
    </row>
    <row r="28" spans="2:16">
      <c r="B28" s="134"/>
      <c r="C28" s="114"/>
      <c r="D28" s="135"/>
      <c r="E28" s="125"/>
      <c r="F28" s="133"/>
      <c r="G28" s="133"/>
      <c r="H28" s="133"/>
      <c r="I28" s="365"/>
      <c r="J28" s="365"/>
      <c r="K28" s="365"/>
      <c r="L28" s="375"/>
      <c r="M28" s="108"/>
      <c r="N28" s="374"/>
      <c r="O28" s="151"/>
      <c r="P28" s="374" t="str">
        <f t="shared" si="0"/>
        <v/>
      </c>
    </row>
    <row r="29" spans="2:16">
      <c r="B29" s="134">
        <f>B27+1</f>
        <v>11</v>
      </c>
      <c r="C29" s="114"/>
      <c r="D29" s="373" t="str">
        <f>"NET PLANT CARRYING CHARGE ON LINE "&amp;B26&amp;" , W/O DEPRECIATION (w/o incentives) (Note B)"</f>
        <v>NET PLANT CARRYING CHARGE ON LINE 9 , W/O DEPRECIATION (w/o incentives) (Note B)</v>
      </c>
      <c r="E29" s="125"/>
      <c r="F29" s="133"/>
      <c r="G29" s="133"/>
      <c r="H29" s="133"/>
      <c r="I29" s="365"/>
      <c r="J29" s="365"/>
      <c r="K29" s="365"/>
      <c r="L29" s="375"/>
      <c r="M29" s="108"/>
      <c r="N29" s="374"/>
      <c r="O29" s="151"/>
      <c r="P29" s="374" t="str">
        <f t="shared" si="0"/>
        <v/>
      </c>
    </row>
    <row r="30" spans="2:16">
      <c r="B30" s="134">
        <f>B29+1</f>
        <v>12</v>
      </c>
      <c r="C30" s="114"/>
      <c r="D30" s="135" t="s">
        <v>526</v>
      </c>
      <c r="E30" s="125" t="str">
        <f>"( (ln "&amp;B11&amp;" - ln "&amp;B147&amp;") / ln "&amp;B79&amp;" x 100%)"</f>
        <v>( (ln 1 - ln 82) / ln 39 x 100%)</v>
      </c>
      <c r="F30" s="133"/>
      <c r="G30" s="133"/>
      <c r="H30" s="133"/>
      <c r="I30" s="365"/>
      <c r="J30" s="365"/>
      <c r="K30" s="365"/>
      <c r="L30" s="364">
        <f>IF(L79=0,0,(L11-L147)/L79)</f>
        <v>0.11759445782515981</v>
      </c>
      <c r="M30" s="108"/>
      <c r="N30" s="363">
        <v>0.11733586421153605</v>
      </c>
      <c r="O30" s="151"/>
      <c r="P30" s="363">
        <f t="shared" si="0"/>
        <v>-2.5859361362376432E-4</v>
      </c>
    </row>
    <row r="31" spans="2:16">
      <c r="B31" s="134"/>
      <c r="C31" s="114"/>
      <c r="D31" s="135"/>
      <c r="E31" s="125"/>
      <c r="F31" s="133"/>
      <c r="G31" s="133"/>
      <c r="H31" s="133"/>
      <c r="I31" s="365"/>
      <c r="J31" s="365"/>
      <c r="K31" s="365"/>
      <c r="L31" s="375"/>
      <c r="M31" s="108"/>
      <c r="N31" s="374"/>
      <c r="O31" s="151"/>
      <c r="P31" s="374" t="str">
        <f t="shared" si="0"/>
        <v/>
      </c>
    </row>
    <row r="32" spans="2:16">
      <c r="B32" s="134">
        <f>B30+1</f>
        <v>13</v>
      </c>
      <c r="C32" s="114"/>
      <c r="D32" s="373" t="str">
        <f>"NET PLANT CARRYING CHARGE ON LINE "&amp;B29&amp;", W/O  INCOME TAXES, RETURN  (Note B)"</f>
        <v>NET PLANT CARRYING CHARGE ON LINE 11, W/O  INCOME TAXES, RETURN  (Note B)</v>
      </c>
      <c r="E32" s="125"/>
      <c r="F32" s="133"/>
      <c r="G32" s="133"/>
      <c r="H32" s="133"/>
      <c r="I32" s="365"/>
      <c r="J32" s="365"/>
      <c r="K32" s="365"/>
      <c r="L32" s="372"/>
      <c r="M32" s="108"/>
      <c r="N32" s="371"/>
      <c r="O32" s="151"/>
      <c r="P32" s="371" t="str">
        <f t="shared" si="0"/>
        <v/>
      </c>
    </row>
    <row r="33" spans="2:16">
      <c r="B33" s="134">
        <f>B32+1</f>
        <v>14</v>
      </c>
      <c r="C33" s="114"/>
      <c r="D33" s="135" t="s">
        <v>526</v>
      </c>
      <c r="E33" s="125" t="str">
        <f>"( (ln "&amp;B11&amp;" - ln "&amp;B147&amp;" - ln "&amp;B172&amp;" - ln "&amp;B174&amp;") / ln "&amp;B79&amp;" x 100%)"</f>
        <v>( (ln 1 - ln 82 - ln 103 - ln 104) / ln 39 x 100%)</v>
      </c>
      <c r="F33" s="133"/>
      <c r="G33" s="133"/>
      <c r="H33" s="133"/>
      <c r="I33" s="365"/>
      <c r="J33" s="365"/>
      <c r="K33" s="365"/>
      <c r="L33" s="370">
        <f>IF(L79=0,0,(L11-L147-L172-L174)/L79)</f>
        <v>2.7529498225833532E-2</v>
      </c>
      <c r="M33" s="108"/>
      <c r="N33" s="432">
        <v>2.7486814054991034E-2</v>
      </c>
      <c r="O33" s="151"/>
      <c r="P33" s="432">
        <f t="shared" si="0"/>
        <v>-4.2684170842497565E-5</v>
      </c>
    </row>
    <row r="34" spans="2:16">
      <c r="B34" s="134"/>
      <c r="C34" s="114"/>
      <c r="D34" s="135"/>
      <c r="E34" s="125"/>
      <c r="F34" s="133"/>
      <c r="G34" s="133"/>
      <c r="H34" s="133"/>
      <c r="I34" s="365"/>
      <c r="J34" s="365"/>
      <c r="K34" s="365"/>
      <c r="L34" s="364"/>
      <c r="M34" s="108"/>
      <c r="N34" s="363"/>
      <c r="O34" s="151"/>
      <c r="P34" s="363" t="str">
        <f t="shared" si="0"/>
        <v/>
      </c>
    </row>
    <row r="35" spans="2:16">
      <c r="B35" s="134">
        <f>B33+1</f>
        <v>15</v>
      </c>
      <c r="C35" s="133"/>
      <c r="D35" s="368" t="s">
        <v>525</v>
      </c>
      <c r="E35" s="125"/>
      <c r="F35" s="133"/>
      <c r="G35" s="133"/>
      <c r="H35" s="133"/>
      <c r="I35" s="365"/>
      <c r="J35" s="365"/>
      <c r="K35" s="365"/>
      <c r="L35" s="367">
        <f>+'[6]OKT WS G BPU ATRR True-up'!P18</f>
        <v>0</v>
      </c>
      <c r="M35" s="108"/>
      <c r="N35" s="431">
        <v>0</v>
      </c>
      <c r="O35" s="151"/>
      <c r="P35" s="431">
        <f t="shared" si="0"/>
        <v>0</v>
      </c>
    </row>
    <row r="36" spans="2:16">
      <c r="B36" s="134"/>
      <c r="C36" s="133"/>
      <c r="D36" s="192"/>
      <c r="E36" s="125"/>
      <c r="F36" s="133"/>
      <c r="G36" s="133"/>
      <c r="H36" s="133"/>
      <c r="I36" s="365"/>
      <c r="J36" s="365"/>
      <c r="K36" s="365"/>
      <c r="L36" s="364"/>
      <c r="M36" s="108"/>
      <c r="N36" s="363"/>
      <c r="O36" s="151"/>
      <c r="P36" s="363" t="str">
        <f t="shared" si="0"/>
        <v/>
      </c>
    </row>
    <row r="37" spans="2:16">
      <c r="B37" s="104"/>
      <c r="C37" s="133"/>
      <c r="D37" s="192"/>
      <c r="E37" s="125"/>
      <c r="F37" s="133"/>
      <c r="G37" s="133"/>
      <c r="H37" s="133"/>
      <c r="I37" s="365"/>
      <c r="J37" s="365"/>
      <c r="K37" s="365"/>
      <c r="L37" s="364"/>
      <c r="M37" s="108"/>
      <c r="N37" s="363"/>
      <c r="O37" s="151"/>
      <c r="P37" s="363" t="str">
        <f t="shared" si="0"/>
        <v/>
      </c>
    </row>
    <row r="38" spans="2:16">
      <c r="B38" s="134"/>
      <c r="C38" s="133"/>
      <c r="D38" s="192"/>
      <c r="E38" s="125"/>
      <c r="F38" s="133"/>
      <c r="G38" s="133"/>
      <c r="H38" s="133"/>
      <c r="I38" s="365"/>
      <c r="J38" s="365"/>
      <c r="K38" s="365"/>
      <c r="L38" s="364"/>
      <c r="M38" s="108"/>
      <c r="N38" s="363"/>
      <c r="O38" s="151"/>
      <c r="P38" s="363" t="str">
        <f t="shared" si="0"/>
        <v/>
      </c>
    </row>
    <row r="39" spans="2:16">
      <c r="B39" s="134"/>
      <c r="C39" s="133"/>
      <c r="D39" s="192"/>
      <c r="E39" s="125"/>
      <c r="F39" s="133"/>
      <c r="G39" s="133"/>
      <c r="H39" s="133"/>
      <c r="I39" s="365"/>
      <c r="J39" s="365"/>
      <c r="K39" s="365"/>
      <c r="L39" s="364"/>
      <c r="M39" s="108"/>
      <c r="N39" s="363"/>
      <c r="O39" s="151"/>
      <c r="P39" s="363" t="str">
        <f t="shared" si="0"/>
        <v/>
      </c>
    </row>
    <row r="40" spans="2:16">
      <c r="B40" s="336"/>
      <c r="C40" s="192"/>
      <c r="D40" s="135"/>
      <c r="E40" s="135"/>
      <c r="G40" s="362"/>
      <c r="H40" s="135"/>
      <c r="I40" s="135"/>
      <c r="J40" s="135"/>
      <c r="K40" s="135"/>
      <c r="L40" s="135"/>
      <c r="M40" s="108"/>
      <c r="N40" s="245"/>
      <c r="O40" s="151"/>
      <c r="P40" s="245" t="str">
        <f t="shared" si="0"/>
        <v/>
      </c>
    </row>
    <row r="41" spans="2:16">
      <c r="B41" s="336"/>
      <c r="C41" s="192"/>
      <c r="D41" s="135"/>
      <c r="E41" s="135"/>
      <c r="F41" s="133"/>
      <c r="G41" s="362"/>
      <c r="H41" s="135"/>
      <c r="I41" s="135"/>
      <c r="J41" s="135"/>
      <c r="K41" s="135"/>
      <c r="L41" s="135"/>
      <c r="M41" s="108"/>
      <c r="N41" s="245"/>
      <c r="O41" s="151"/>
      <c r="P41" s="245" t="str">
        <f t="shared" si="0"/>
        <v/>
      </c>
    </row>
    <row r="42" spans="2:16">
      <c r="B42" s="336"/>
      <c r="C42" s="192"/>
      <c r="D42" s="135"/>
      <c r="E42" s="135"/>
      <c r="F42" s="133" t="str">
        <f>F3</f>
        <v xml:space="preserve">AEP West SPP Member Companies </v>
      </c>
      <c r="G42" s="362"/>
      <c r="H42" s="135"/>
      <c r="I42" s="135"/>
      <c r="J42" s="135"/>
      <c r="K42" s="135"/>
      <c r="L42" s="135"/>
      <c r="M42" s="108"/>
      <c r="N42" s="245"/>
      <c r="O42" s="151"/>
      <c r="P42" s="245" t="str">
        <f t="shared" si="0"/>
        <v/>
      </c>
    </row>
    <row r="43" spans="2:16">
      <c r="B43" s="336"/>
      <c r="C43" s="192"/>
      <c r="D43" s="135"/>
      <c r="E43" s="139"/>
      <c r="F43" s="133" t="str">
        <f>F4</f>
        <v>Transmission Cost of Service Formula Rate</v>
      </c>
      <c r="G43" s="139"/>
      <c r="H43" s="139"/>
      <c r="I43" s="139"/>
      <c r="J43" s="139"/>
      <c r="K43" s="139"/>
      <c r="L43" s="139"/>
      <c r="M43" s="108"/>
      <c r="N43" s="174"/>
      <c r="O43" s="151"/>
      <c r="P43" s="174" t="str">
        <f t="shared" si="0"/>
        <v/>
      </c>
    </row>
    <row r="44" spans="2:16">
      <c r="B44" s="336"/>
      <c r="C44" s="192"/>
      <c r="D44" s="135"/>
      <c r="E44" s="139"/>
      <c r="F44" s="204" t="str">
        <f>F5</f>
        <v>Utilizing Actual Cost Data for 2017 with Average Ratebase Balances</v>
      </c>
      <c r="G44" s="139"/>
      <c r="H44" s="139"/>
      <c r="I44" s="139"/>
      <c r="J44" s="139"/>
      <c r="K44" s="139"/>
      <c r="L44" s="139"/>
      <c r="M44" s="108"/>
      <c r="N44" s="174"/>
      <c r="O44" s="151"/>
      <c r="P44" s="174" t="str">
        <f t="shared" si="0"/>
        <v/>
      </c>
    </row>
    <row r="45" spans="2:16">
      <c r="B45" s="336"/>
      <c r="C45" s="192"/>
      <c r="D45" s="135"/>
      <c r="E45" s="139"/>
      <c r="F45" s="133"/>
      <c r="G45" s="139"/>
      <c r="H45" s="139"/>
      <c r="I45" s="139"/>
      <c r="J45" s="139"/>
      <c r="K45" s="139"/>
      <c r="L45" s="139"/>
      <c r="M45" s="108"/>
      <c r="N45" s="174"/>
      <c r="O45" s="151"/>
      <c r="P45" s="174" t="str">
        <f t="shared" si="0"/>
        <v/>
      </c>
    </row>
    <row r="46" spans="2:16">
      <c r="B46" s="336"/>
      <c r="C46" s="192"/>
      <c r="D46" s="135"/>
      <c r="E46" s="139"/>
      <c r="F46" s="133" t="str">
        <f>F7</f>
        <v>AEP OKLAHOMA TRANSMISSION COMPANY, INC</v>
      </c>
      <c r="G46" s="139"/>
      <c r="H46" s="139"/>
      <c r="I46" s="139"/>
      <c r="J46" s="139"/>
      <c r="K46" s="139"/>
      <c r="L46" s="139"/>
      <c r="M46" s="108"/>
      <c r="N46" s="174"/>
      <c r="O46" s="151"/>
      <c r="P46" s="174" t="str">
        <f t="shared" si="0"/>
        <v/>
      </c>
    </row>
    <row r="47" spans="2:16">
      <c r="B47" s="336"/>
      <c r="C47" s="192"/>
      <c r="D47" s="135"/>
      <c r="E47" s="204"/>
      <c r="F47" s="204"/>
      <c r="G47" s="204"/>
      <c r="H47" s="204"/>
      <c r="I47" s="204"/>
      <c r="J47" s="204"/>
      <c r="K47" s="204"/>
      <c r="L47" s="139"/>
      <c r="M47" s="108"/>
      <c r="N47" s="174"/>
      <c r="O47" s="151"/>
      <c r="P47" s="174" t="str">
        <f t="shared" si="0"/>
        <v/>
      </c>
    </row>
    <row r="48" spans="2:16">
      <c r="B48" s="336"/>
      <c r="C48" s="192"/>
      <c r="D48" s="133" t="s">
        <v>462</v>
      </c>
      <c r="E48" s="133" t="s">
        <v>461</v>
      </c>
      <c r="F48" s="133"/>
      <c r="G48" s="133" t="s">
        <v>460</v>
      </c>
      <c r="H48" s="139" t="s">
        <v>288</v>
      </c>
      <c r="I48" s="481" t="s">
        <v>459</v>
      </c>
      <c r="J48" s="482"/>
      <c r="K48" s="139"/>
      <c r="L48" s="335" t="s">
        <v>458</v>
      </c>
      <c r="M48" s="108"/>
      <c r="N48" s="334" t="s">
        <v>458</v>
      </c>
      <c r="O48" s="151"/>
      <c r="P48" s="334">
        <f t="shared" si="0"/>
        <v>0</v>
      </c>
    </row>
    <row r="49" spans="2:16">
      <c r="B49" s="104"/>
      <c r="C49" s="192"/>
      <c r="D49" s="108"/>
      <c r="E49" s="337"/>
      <c r="F49" s="108"/>
      <c r="G49" s="255"/>
      <c r="H49" s="139"/>
      <c r="I49" s="139"/>
      <c r="J49" s="333"/>
      <c r="K49" s="139"/>
      <c r="L49" s="192"/>
      <c r="M49" s="108"/>
      <c r="N49" s="242"/>
      <c r="O49" s="151"/>
      <c r="P49" s="242" t="str">
        <f t="shared" si="0"/>
        <v/>
      </c>
    </row>
    <row r="50" spans="2:16" ht="15.75">
      <c r="B50" s="332"/>
      <c r="C50" s="133"/>
      <c r="D50" s="108"/>
      <c r="E50" s="330" t="s">
        <v>524</v>
      </c>
      <c r="F50" s="331"/>
      <c r="G50" s="139"/>
      <c r="H50" s="139"/>
      <c r="I50" s="139"/>
      <c r="J50" s="133"/>
      <c r="K50" s="139"/>
      <c r="L50" s="361" t="s">
        <v>372</v>
      </c>
      <c r="M50" s="108"/>
      <c r="N50" s="360" t="s">
        <v>372</v>
      </c>
      <c r="O50" s="151"/>
      <c r="P50" s="360" t="s">
        <v>372</v>
      </c>
    </row>
    <row r="51" spans="2:16" ht="15.75">
      <c r="B51" s="104"/>
      <c r="C51" s="132"/>
      <c r="D51" s="322" t="s">
        <v>523</v>
      </c>
      <c r="E51" s="359" t="s">
        <v>522</v>
      </c>
      <c r="F51" s="139"/>
      <c r="G51" s="322" t="s">
        <v>521</v>
      </c>
      <c r="H51" s="191"/>
      <c r="I51" s="471" t="s">
        <v>520</v>
      </c>
      <c r="J51" s="472"/>
      <c r="K51" s="191"/>
      <c r="L51" s="322" t="s">
        <v>455</v>
      </c>
      <c r="M51" s="108"/>
      <c r="N51" s="321" t="s">
        <v>455</v>
      </c>
      <c r="O51" s="151"/>
      <c r="P51" s="321" t="s">
        <v>455</v>
      </c>
    </row>
    <row r="52" spans="2:16">
      <c r="B52" s="319" t="str">
        <f>B9</f>
        <v>Line</v>
      </c>
      <c r="C52" s="133"/>
      <c r="D52" s="135"/>
      <c r="E52" s="139"/>
      <c r="F52" s="139"/>
      <c r="G52" s="358" t="s">
        <v>519</v>
      </c>
      <c r="H52" s="139"/>
      <c r="I52" s="139"/>
      <c r="J52" s="139"/>
      <c r="K52" s="139"/>
      <c r="L52" s="139"/>
      <c r="M52" s="108"/>
      <c r="N52" s="174"/>
      <c r="O52" s="151"/>
      <c r="P52" s="174" t="str">
        <f t="shared" ref="P52:P83" si="1">IF(N52="","",N52-L52)</f>
        <v/>
      </c>
    </row>
    <row r="53" spans="2:16" ht="15.75" thickBot="1">
      <c r="B53" s="243" t="str">
        <f>B10</f>
        <v>No.</v>
      </c>
      <c r="C53" s="133"/>
      <c r="D53" s="135" t="s">
        <v>518</v>
      </c>
      <c r="E53" s="234"/>
      <c r="F53" s="234"/>
      <c r="G53" s="131"/>
      <c r="H53" s="131"/>
      <c r="I53" s="175"/>
      <c r="J53" s="131"/>
      <c r="K53" s="131"/>
      <c r="L53" s="131"/>
      <c r="M53" s="108"/>
      <c r="N53" s="174"/>
      <c r="O53" s="151"/>
      <c r="P53" s="174" t="str">
        <f t="shared" si="1"/>
        <v/>
      </c>
    </row>
    <row r="54" spans="2:16">
      <c r="B54" s="134">
        <f>+B35+1</f>
        <v>16</v>
      </c>
      <c r="C54" s="133"/>
      <c r="D54" s="217" t="s">
        <v>374</v>
      </c>
      <c r="E54" s="131"/>
      <c r="F54" s="131"/>
      <c r="G54" s="154"/>
      <c r="H54" s="154"/>
      <c r="I54" s="175"/>
      <c r="J54" s="214"/>
      <c r="K54" s="131"/>
      <c r="L54" s="154"/>
      <c r="M54" s="108"/>
      <c r="N54" s="209"/>
      <c r="O54" s="151"/>
      <c r="P54" s="209" t="str">
        <f t="shared" si="1"/>
        <v/>
      </c>
    </row>
    <row r="55" spans="2:16">
      <c r="B55" s="134">
        <f t="shared" ref="B55:B63" si="2">+B54+1</f>
        <v>17</v>
      </c>
      <c r="C55" s="133"/>
      <c r="D55" s="217" t="s">
        <v>374</v>
      </c>
      <c r="E55" s="131"/>
      <c r="F55" s="131"/>
      <c r="G55" s="154"/>
      <c r="H55" s="154"/>
      <c r="I55" s="175"/>
      <c r="J55" s="214"/>
      <c r="K55" s="131"/>
      <c r="L55" s="154"/>
      <c r="M55" s="108"/>
      <c r="N55" s="209"/>
      <c r="O55" s="151"/>
      <c r="P55" s="209" t="str">
        <f t="shared" si="1"/>
        <v/>
      </c>
    </row>
    <row r="56" spans="2:16">
      <c r="B56" s="134">
        <f t="shared" si="2"/>
        <v>18</v>
      </c>
      <c r="C56" s="338"/>
      <c r="D56" s="353" t="s">
        <v>378</v>
      </c>
      <c r="E56" s="352" t="str">
        <f>"(Worksheet A ln "&amp;'[6]OKT WS A RB Support '!A18&amp;".E &amp; Ln "&amp;B199&amp;")"</f>
        <v>(Worksheet A ln 3.E &amp; Ln 113)</v>
      </c>
      <c r="F56" s="351"/>
      <c r="G56" s="154">
        <f>+'[6]OKT WS A RB Support '!G18</f>
        <v>740877397</v>
      </c>
      <c r="H56" s="154"/>
      <c r="I56" s="311" t="s">
        <v>269</v>
      </c>
      <c r="J56" s="131"/>
      <c r="K56" s="310"/>
      <c r="L56" s="309">
        <f>+L199</f>
        <v>690573409.36000001</v>
      </c>
      <c r="M56" s="108"/>
      <c r="N56" s="308">
        <v>732234850.71627402</v>
      </c>
      <c r="O56" s="151"/>
      <c r="P56" s="308">
        <f t="shared" si="1"/>
        <v>41661441.356274009</v>
      </c>
    </row>
    <row r="57" spans="2:16">
      <c r="B57" s="134">
        <f t="shared" si="2"/>
        <v>19</v>
      </c>
      <c r="C57" s="338"/>
      <c r="D57" s="155" t="s">
        <v>506</v>
      </c>
      <c r="E57" s="131" t="s">
        <v>517</v>
      </c>
      <c r="F57" s="351"/>
      <c r="G57" s="154">
        <f>-+'[6]OKT WS A RB Support '!G20</f>
        <v>0</v>
      </c>
      <c r="H57" s="154"/>
      <c r="I57" s="311" t="s">
        <v>264</v>
      </c>
      <c r="J57" s="214">
        <f>VLOOKUP(I57,PSO_TU_Allocators,2,FALSE)</f>
        <v>0.93210214288667259</v>
      </c>
      <c r="K57" s="310"/>
      <c r="L57" s="309">
        <f>+G57*J57</f>
        <v>0</v>
      </c>
      <c r="M57" s="108"/>
      <c r="N57" s="308">
        <v>0</v>
      </c>
      <c r="O57" s="151"/>
      <c r="P57" s="308">
        <f t="shared" si="1"/>
        <v>0</v>
      </c>
    </row>
    <row r="58" spans="2:16">
      <c r="B58" s="134">
        <f t="shared" si="2"/>
        <v>20</v>
      </c>
      <c r="C58" s="338"/>
      <c r="D58" s="217" t="s">
        <v>374</v>
      </c>
      <c r="E58" s="131"/>
      <c r="F58" s="131"/>
      <c r="G58" s="154"/>
      <c r="H58" s="154"/>
      <c r="I58" s="175"/>
      <c r="J58" s="214"/>
      <c r="K58" s="131"/>
      <c r="L58" s="154"/>
      <c r="M58" s="108"/>
      <c r="N58" s="209"/>
      <c r="O58" s="151"/>
      <c r="P58" s="209" t="str">
        <f t="shared" si="1"/>
        <v/>
      </c>
    </row>
    <row r="59" spans="2:16">
      <c r="B59" s="134">
        <f t="shared" si="2"/>
        <v>21</v>
      </c>
      <c r="C59" s="338"/>
      <c r="D59" s="217" t="s">
        <v>374</v>
      </c>
      <c r="E59" s="131"/>
      <c r="F59" s="131"/>
      <c r="G59" s="154"/>
      <c r="H59" s="154"/>
      <c r="I59" s="175"/>
      <c r="J59" s="214"/>
      <c r="K59" s="131"/>
      <c r="L59" s="154"/>
      <c r="M59" s="108"/>
      <c r="N59" s="209"/>
      <c r="O59" s="151"/>
      <c r="P59" s="209" t="str">
        <f t="shared" si="1"/>
        <v/>
      </c>
    </row>
    <row r="60" spans="2:16">
      <c r="B60" s="134">
        <f t="shared" si="2"/>
        <v>22</v>
      </c>
      <c r="C60" s="338"/>
      <c r="D60" s="135" t="s">
        <v>516</v>
      </c>
      <c r="E60" s="131" t="s">
        <v>515</v>
      </c>
      <c r="F60" s="343"/>
      <c r="G60" s="154">
        <f>+'[6]OKT WS A RB Support '!G26</f>
        <v>17000063.5</v>
      </c>
      <c r="H60" s="154"/>
      <c r="I60" s="175" t="s">
        <v>262</v>
      </c>
      <c r="J60" s="214">
        <f>VLOOKUP(I60,PSO_TU_Allocators,2,FALSE)</f>
        <v>0.9321021428866727</v>
      </c>
      <c r="K60" s="131"/>
      <c r="L60" s="154">
        <f>+J60*G60</f>
        <v>15845795.617559509</v>
      </c>
      <c r="M60" s="108"/>
      <c r="N60" s="209">
        <v>16801752.907424275</v>
      </c>
      <c r="O60" s="151"/>
      <c r="P60" s="209">
        <f t="shared" si="1"/>
        <v>955957.28986476548</v>
      </c>
    </row>
    <row r="61" spans="2:16">
      <c r="B61" s="134">
        <f t="shared" si="2"/>
        <v>23</v>
      </c>
      <c r="C61" s="338"/>
      <c r="D61" s="205" t="s">
        <v>502</v>
      </c>
      <c r="E61" s="131" t="s">
        <v>514</v>
      </c>
      <c r="F61" s="343"/>
      <c r="G61" s="177">
        <f>-'[6]OKT WS A RB Support '!G28</f>
        <v>0</v>
      </c>
      <c r="H61" s="154"/>
      <c r="I61" s="175" t="s">
        <v>262</v>
      </c>
      <c r="J61" s="214">
        <f>VLOOKUP(I61,PSO_TU_Allocators,2,FALSE)</f>
        <v>0.9321021428866727</v>
      </c>
      <c r="K61" s="131"/>
      <c r="L61" s="154">
        <f>+G61*J61</f>
        <v>0</v>
      </c>
      <c r="M61" s="108"/>
      <c r="N61" s="209">
        <v>0</v>
      </c>
      <c r="O61" s="151"/>
      <c r="P61" s="209">
        <f t="shared" si="1"/>
        <v>0</v>
      </c>
    </row>
    <row r="62" spans="2:16" ht="15.75" thickBot="1">
      <c r="B62" s="134">
        <f t="shared" si="2"/>
        <v>24</v>
      </c>
      <c r="C62" s="338"/>
      <c r="D62" s="135" t="s">
        <v>513</v>
      </c>
      <c r="E62" s="131" t="s">
        <v>512</v>
      </c>
      <c r="F62" s="343"/>
      <c r="G62" s="163">
        <f>+'[6]OKT WS A RB Support '!G30</f>
        <v>5121473</v>
      </c>
      <c r="H62" s="154"/>
      <c r="I62" s="175" t="s">
        <v>262</v>
      </c>
      <c r="J62" s="214">
        <f>VLOOKUP(I62,PSO_TU_Allocators,2,FALSE)</f>
        <v>0.9321021428866727</v>
      </c>
      <c r="K62" s="131"/>
      <c r="L62" s="163">
        <f>+J62*G62</f>
        <v>4773735.9580362365</v>
      </c>
      <c r="M62" s="108"/>
      <c r="N62" s="211">
        <v>5061729.5557775367</v>
      </c>
      <c r="O62" s="157"/>
      <c r="P62" s="211">
        <f t="shared" si="1"/>
        <v>287993.59774130024</v>
      </c>
    </row>
    <row r="63" spans="2:16" ht="15.75">
      <c r="B63" s="332">
        <f t="shared" si="2"/>
        <v>25</v>
      </c>
      <c r="C63" s="338"/>
      <c r="D63" s="135" t="s">
        <v>511</v>
      </c>
      <c r="E63" s="133" t="str">
        <f>"(sum lns "&amp;B54&amp;" to "&amp;B62&amp;")"</f>
        <v>(sum lns 16 to 24)</v>
      </c>
      <c r="F63" s="116"/>
      <c r="G63" s="154">
        <f>SUM(G54:G62)</f>
        <v>762998933.5</v>
      </c>
      <c r="H63" s="154"/>
      <c r="I63" s="356" t="s">
        <v>510</v>
      </c>
      <c r="J63" s="346">
        <f>IF(G63=0,0,L63/G63)</f>
        <v>0.93210214288667248</v>
      </c>
      <c r="K63" s="131"/>
      <c r="L63" s="154">
        <f>SUM(L54:L62)</f>
        <v>711192940.93559575</v>
      </c>
      <c r="M63" s="108"/>
      <c r="N63" s="209">
        <v>754098333.1794759</v>
      </c>
      <c r="O63" s="157"/>
      <c r="P63" s="209">
        <f t="shared" si="1"/>
        <v>42905392.243880153</v>
      </c>
    </row>
    <row r="64" spans="2:16" ht="15.75">
      <c r="B64" s="332"/>
      <c r="C64" s="133"/>
      <c r="D64" s="135"/>
      <c r="E64" s="357"/>
      <c r="F64" s="116"/>
      <c r="G64" s="154"/>
      <c r="H64" s="154"/>
      <c r="I64" s="356" t="s">
        <v>509</v>
      </c>
      <c r="J64" s="250">
        <f>+G56/(++G56+G58)</f>
        <v>1</v>
      </c>
      <c r="K64" s="131"/>
      <c r="L64" s="154"/>
      <c r="M64" s="108"/>
      <c r="N64" s="209"/>
      <c r="O64" s="157"/>
      <c r="P64" s="209" t="str">
        <f t="shared" si="1"/>
        <v/>
      </c>
    </row>
    <row r="65" spans="2:16">
      <c r="B65" s="134">
        <f>+B63+1</f>
        <v>26</v>
      </c>
      <c r="C65" s="133"/>
      <c r="D65" s="135" t="s">
        <v>508</v>
      </c>
      <c r="E65" s="234"/>
      <c r="F65" s="234"/>
      <c r="G65" s="154"/>
      <c r="H65" s="355"/>
      <c r="I65" s="175"/>
      <c r="J65" s="354"/>
      <c r="K65" s="131"/>
      <c r="L65" s="154"/>
      <c r="M65" s="108"/>
      <c r="N65" s="209"/>
      <c r="O65" s="269"/>
      <c r="P65" s="209" t="str">
        <f t="shared" si="1"/>
        <v/>
      </c>
    </row>
    <row r="66" spans="2:16">
      <c r="B66" s="134">
        <f t="shared" ref="B66:B75" si="3">+B65+1</f>
        <v>27</v>
      </c>
      <c r="C66" s="133"/>
      <c r="D66" s="217" t="s">
        <v>374</v>
      </c>
      <c r="E66" s="131"/>
      <c r="F66" s="131"/>
      <c r="G66" s="154"/>
      <c r="H66" s="154"/>
      <c r="I66" s="175"/>
      <c r="J66" s="214"/>
      <c r="K66" s="131"/>
      <c r="L66" s="154"/>
      <c r="M66" s="108"/>
      <c r="N66" s="209"/>
      <c r="O66" s="269"/>
      <c r="P66" s="209" t="str">
        <f t="shared" si="1"/>
        <v/>
      </c>
    </row>
    <row r="67" spans="2:16">
      <c r="B67" s="134">
        <f t="shared" si="3"/>
        <v>28</v>
      </c>
      <c r="C67" s="133"/>
      <c r="D67" s="217" t="s">
        <v>374</v>
      </c>
      <c r="E67" s="131"/>
      <c r="F67" s="131"/>
      <c r="G67" s="154"/>
      <c r="H67" s="154"/>
      <c r="I67" s="175"/>
      <c r="J67" s="214"/>
      <c r="K67" s="131"/>
      <c r="L67" s="154"/>
      <c r="M67" s="108"/>
      <c r="N67" s="209"/>
      <c r="O67" s="269"/>
      <c r="P67" s="209" t="str">
        <f t="shared" si="1"/>
        <v/>
      </c>
    </row>
    <row r="68" spans="2:16" ht="15.75">
      <c r="B68" s="134">
        <f t="shared" si="3"/>
        <v>29</v>
      </c>
      <c r="C68" s="338"/>
      <c r="D68" s="353" t="str">
        <f>D56</f>
        <v xml:space="preserve">  Transmission</v>
      </c>
      <c r="E68" s="352" t="s">
        <v>507</v>
      </c>
      <c r="F68" s="351"/>
      <c r="G68" s="309">
        <f>+'[6]OKT WS A RB Support '!G42</f>
        <v>35210555.055</v>
      </c>
      <c r="H68" s="154"/>
      <c r="I68" s="350" t="s">
        <v>504</v>
      </c>
      <c r="J68" s="313">
        <f>IF(G68=0,0,L68/G68)</f>
        <v>1</v>
      </c>
      <c r="K68" s="310"/>
      <c r="L68" s="154">
        <f>+'[6]OKT WS A RB Support '!G74</f>
        <v>35210555.055</v>
      </c>
      <c r="M68" s="108"/>
      <c r="N68" s="209">
        <v>37201590.5</v>
      </c>
      <c r="O68" s="269"/>
      <c r="P68" s="209">
        <f t="shared" si="1"/>
        <v>1991035.4450000003</v>
      </c>
    </row>
    <row r="69" spans="2:16" ht="15.75">
      <c r="B69" s="134">
        <f t="shared" si="3"/>
        <v>30</v>
      </c>
      <c r="C69" s="338"/>
      <c r="D69" s="205" t="s">
        <v>506</v>
      </c>
      <c r="E69" s="131" t="s">
        <v>505</v>
      </c>
      <c r="F69" s="351"/>
      <c r="G69" s="177">
        <f>-'[6]OKT WS A RB Support '!G44</f>
        <v>0</v>
      </c>
      <c r="H69" s="154"/>
      <c r="I69" s="350" t="s">
        <v>504</v>
      </c>
      <c r="J69" s="214">
        <f>+J68</f>
        <v>1</v>
      </c>
      <c r="K69" s="310"/>
      <c r="L69" s="154">
        <f>+J69*G69</f>
        <v>0</v>
      </c>
      <c r="M69" s="108"/>
      <c r="N69" s="209">
        <v>0</v>
      </c>
      <c r="O69" s="269"/>
      <c r="P69" s="209">
        <f t="shared" si="1"/>
        <v>0</v>
      </c>
    </row>
    <row r="70" spans="2:16">
      <c r="B70" s="134">
        <f t="shared" si="3"/>
        <v>31</v>
      </c>
      <c r="C70" s="338"/>
      <c r="D70" s="217" t="s">
        <v>374</v>
      </c>
      <c r="E70" s="131"/>
      <c r="F70" s="131"/>
      <c r="G70" s="154"/>
      <c r="H70" s="154"/>
      <c r="I70" s="175"/>
      <c r="J70" s="214"/>
      <c r="K70" s="131"/>
      <c r="L70" s="154"/>
      <c r="M70" s="108"/>
      <c r="N70" s="209"/>
      <c r="O70" s="269"/>
      <c r="P70" s="209" t="str">
        <f t="shared" si="1"/>
        <v/>
      </c>
    </row>
    <row r="71" spans="2:16">
      <c r="B71" s="134">
        <f t="shared" si="3"/>
        <v>32</v>
      </c>
      <c r="C71" s="338"/>
      <c r="D71" s="217" t="s">
        <v>374</v>
      </c>
      <c r="E71" s="131"/>
      <c r="F71" s="131"/>
      <c r="G71" s="154"/>
      <c r="H71" s="154"/>
      <c r="I71" s="175"/>
      <c r="J71" s="214"/>
      <c r="K71" s="131"/>
      <c r="L71" s="154"/>
      <c r="M71" s="108"/>
      <c r="N71" s="209"/>
      <c r="O71" s="269"/>
      <c r="P71" s="209" t="str">
        <f t="shared" si="1"/>
        <v/>
      </c>
    </row>
    <row r="72" spans="2:16">
      <c r="B72" s="134">
        <f t="shared" si="3"/>
        <v>33</v>
      </c>
      <c r="C72" s="341"/>
      <c r="D72" s="119" t="str">
        <f>+D60</f>
        <v xml:space="preserve">  General Plant   </v>
      </c>
      <c r="E72" s="131" t="s">
        <v>503</v>
      </c>
      <c r="F72" s="343"/>
      <c r="G72" s="237">
        <f>+'[6]OKT WS A RB Support '!G50</f>
        <v>49198</v>
      </c>
      <c r="H72" s="154"/>
      <c r="I72" s="175" t="s">
        <v>262</v>
      </c>
      <c r="J72" s="214">
        <f>VLOOKUP(I72,PSO_TU_Allocators,2,FALSE)</f>
        <v>0.9321021428866727</v>
      </c>
      <c r="K72" s="131"/>
      <c r="L72" s="154">
        <f>+J72*G72</f>
        <v>45857.561225738522</v>
      </c>
      <c r="M72" s="108"/>
      <c r="N72" s="209">
        <v>48624.091288803676</v>
      </c>
      <c r="O72" s="269"/>
      <c r="P72" s="209">
        <f t="shared" si="1"/>
        <v>2766.5300630651545</v>
      </c>
    </row>
    <row r="73" spans="2:16">
      <c r="B73" s="134">
        <f t="shared" si="3"/>
        <v>34</v>
      </c>
      <c r="C73" s="341"/>
      <c r="D73" s="205" t="s">
        <v>502</v>
      </c>
      <c r="E73" s="131" t="s">
        <v>501</v>
      </c>
      <c r="F73" s="343"/>
      <c r="G73" s="177">
        <f>-'[6]OKT WS A RB Support '!G52</f>
        <v>0</v>
      </c>
      <c r="H73" s="154"/>
      <c r="I73" s="175" t="s">
        <v>262</v>
      </c>
      <c r="J73" s="214">
        <f>VLOOKUP(I73,PSO_TU_Allocators,2,FALSE)</f>
        <v>0.9321021428866727</v>
      </c>
      <c r="K73" s="131"/>
      <c r="L73" s="154">
        <f>+J73*G73</f>
        <v>0</v>
      </c>
      <c r="M73" s="108"/>
      <c r="N73" s="209">
        <v>0</v>
      </c>
      <c r="O73" s="269"/>
      <c r="P73" s="209">
        <f t="shared" si="1"/>
        <v>0</v>
      </c>
    </row>
    <row r="74" spans="2:16" ht="15.75" thickBot="1">
      <c r="B74" s="134">
        <f t="shared" si="3"/>
        <v>35</v>
      </c>
      <c r="C74" s="341"/>
      <c r="D74" s="119" t="str">
        <f>+D62</f>
        <v xml:space="preserve">  Intangible Plant</v>
      </c>
      <c r="E74" s="131" t="s">
        <v>500</v>
      </c>
      <c r="F74" s="343"/>
      <c r="G74" s="163">
        <f>+'[6]OKT WS A RB Support '!G54</f>
        <v>1646266</v>
      </c>
      <c r="H74" s="154"/>
      <c r="I74" s="175" t="s">
        <v>262</v>
      </c>
      <c r="J74" s="214">
        <f>VLOOKUP(I74,PSO_TU_Allocators,2,FALSE)</f>
        <v>0.9321021428866727</v>
      </c>
      <c r="K74" s="131"/>
      <c r="L74" s="163">
        <f>+J74*G74</f>
        <v>1534488.0663614711</v>
      </c>
      <c r="M74" s="108"/>
      <c r="N74" s="211">
        <v>1627061.8372627683</v>
      </c>
      <c r="O74" s="269"/>
      <c r="P74" s="211">
        <f t="shared" si="1"/>
        <v>92573.770901297219</v>
      </c>
    </row>
    <row r="75" spans="2:16">
      <c r="B75" s="134">
        <f t="shared" si="3"/>
        <v>36</v>
      </c>
      <c r="C75" s="341"/>
      <c r="D75" s="119" t="s">
        <v>499</v>
      </c>
      <c r="E75" s="349" t="str">
        <f>"(sum lns "&amp;B66&amp;" to "&amp;B74&amp;")"</f>
        <v>(sum lns 27 to 35)</v>
      </c>
      <c r="F75" s="347"/>
      <c r="G75" s="154">
        <f>SUM(G66:G74)</f>
        <v>36906019.055</v>
      </c>
      <c r="H75" s="154"/>
      <c r="I75" s="175"/>
      <c r="J75" s="131"/>
      <c r="K75" s="154"/>
      <c r="L75" s="154">
        <f>SUM(L66:L74)</f>
        <v>36790900.682587214</v>
      </c>
      <c r="M75" s="108"/>
      <c r="N75" s="209">
        <v>38877276.42855157</v>
      </c>
      <c r="O75" s="269"/>
      <c r="P75" s="209">
        <f t="shared" si="1"/>
        <v>2086375.7459643558</v>
      </c>
    </row>
    <row r="76" spans="2:16">
      <c r="B76" s="134"/>
      <c r="C76" s="133"/>
      <c r="D76" s="192"/>
      <c r="E76" s="348"/>
      <c r="F76" s="347"/>
      <c r="G76" s="154"/>
      <c r="H76" s="154"/>
      <c r="I76" s="175"/>
      <c r="J76" s="344"/>
      <c r="K76" s="131"/>
      <c r="L76" s="154"/>
      <c r="M76" s="108"/>
      <c r="N76" s="209"/>
      <c r="O76" s="269"/>
      <c r="P76" s="209" t="str">
        <f t="shared" si="1"/>
        <v/>
      </c>
    </row>
    <row r="77" spans="2:16">
      <c r="B77" s="134">
        <f>+B75+1</f>
        <v>37</v>
      </c>
      <c r="C77" s="133"/>
      <c r="D77" s="135" t="s">
        <v>498</v>
      </c>
      <c r="E77" s="234"/>
      <c r="F77" s="234"/>
      <c r="G77" s="154"/>
      <c r="H77" s="154"/>
      <c r="I77" s="175"/>
      <c r="J77" s="131"/>
      <c r="K77" s="131"/>
      <c r="L77" s="154"/>
      <c r="M77" s="108"/>
      <c r="N77" s="209"/>
      <c r="O77" s="269"/>
      <c r="P77" s="209" t="str">
        <f t="shared" si="1"/>
        <v/>
      </c>
    </row>
    <row r="78" spans="2:16">
      <c r="B78" s="332">
        <f t="shared" ref="B78:B83" si="4">+B77+1</f>
        <v>38</v>
      </c>
      <c r="C78" s="338"/>
      <c r="D78" s="217" t="s">
        <v>374</v>
      </c>
      <c r="E78" s="131"/>
      <c r="F78" s="131"/>
      <c r="G78" s="154"/>
      <c r="H78" s="154"/>
      <c r="I78" s="175"/>
      <c r="J78" s="214"/>
      <c r="K78" s="131"/>
      <c r="L78" s="154"/>
      <c r="M78" s="108"/>
      <c r="N78" s="209"/>
      <c r="O78" s="269"/>
      <c r="P78" s="209" t="str">
        <f t="shared" si="1"/>
        <v/>
      </c>
    </row>
    <row r="79" spans="2:16">
      <c r="B79" s="332">
        <f t="shared" si="4"/>
        <v>39</v>
      </c>
      <c r="C79" s="338"/>
      <c r="D79" s="205" t="str">
        <f>+D68</f>
        <v xml:space="preserve">  Transmission</v>
      </c>
      <c r="E79" s="131" t="str">
        <f>" (ln "&amp;B56&amp;" + ln "&amp;B57&amp;" - ln "&amp;B68&amp;" - ln "&amp;B69&amp;")"</f>
        <v xml:space="preserve"> (ln 18 + ln 19 - ln 29 - ln 30)</v>
      </c>
      <c r="F79" s="343"/>
      <c r="G79" s="154">
        <f>+G56+G57-G68-G69</f>
        <v>705666841.94500005</v>
      </c>
      <c r="H79" s="154"/>
      <c r="I79" s="175"/>
      <c r="J79" s="313"/>
      <c r="K79" s="131"/>
      <c r="L79" s="154">
        <f>+L56+L57-L68-L69</f>
        <v>655362854.30500007</v>
      </c>
      <c r="M79" s="108"/>
      <c r="N79" s="209">
        <v>695033260.21627402</v>
      </c>
      <c r="O79" s="269"/>
      <c r="P79" s="209">
        <f t="shared" si="1"/>
        <v>39670405.911273956</v>
      </c>
    </row>
    <row r="80" spans="2:16">
      <c r="B80" s="332">
        <f t="shared" si="4"/>
        <v>40</v>
      </c>
      <c r="C80" s="338"/>
      <c r="D80" s="217" t="s">
        <v>374</v>
      </c>
      <c r="E80" s="131"/>
      <c r="F80" s="131"/>
      <c r="G80" s="154"/>
      <c r="H80" s="154"/>
      <c r="I80" s="175"/>
      <c r="J80" s="214"/>
      <c r="K80" s="131"/>
      <c r="L80" s="154"/>
      <c r="M80" s="108"/>
      <c r="N80" s="209"/>
      <c r="O80" s="269"/>
      <c r="P80" s="209" t="str">
        <f t="shared" si="1"/>
        <v/>
      </c>
    </row>
    <row r="81" spans="2:16">
      <c r="B81" s="332">
        <f t="shared" si="4"/>
        <v>41</v>
      </c>
      <c r="C81" s="338"/>
      <c r="D81" s="205" t="str">
        <f>+D72</f>
        <v xml:space="preserve">  General Plant   </v>
      </c>
      <c r="E81" s="131" t="str">
        <f>" (ln "&amp;B60&amp;" + ln "&amp;B61&amp;" - ln "&amp;B72&amp;" - ln "&amp;B73&amp;")"</f>
        <v xml:space="preserve"> (ln 22 + ln 23 - ln 33 - ln 34)</v>
      </c>
      <c r="F81" s="131"/>
      <c r="G81" s="154">
        <f>+G60+G61-G72-G73</f>
        <v>16950865.5</v>
      </c>
      <c r="H81" s="154"/>
      <c r="I81" s="175"/>
      <c r="J81" s="344"/>
      <c r="K81" s="131"/>
      <c r="L81" s="154">
        <f>+L60+L61-L72-L73</f>
        <v>15799938.056333771</v>
      </c>
      <c r="M81" s="108"/>
      <c r="N81" s="209">
        <v>16753128.816135472</v>
      </c>
      <c r="O81" s="269"/>
      <c r="P81" s="209">
        <f t="shared" si="1"/>
        <v>953190.75980170071</v>
      </c>
    </row>
    <row r="82" spans="2:16" ht="15.75" thickBot="1">
      <c r="B82" s="332">
        <f t="shared" si="4"/>
        <v>42</v>
      </c>
      <c r="C82" s="338"/>
      <c r="D82" s="205" t="str">
        <f>+D74</f>
        <v xml:space="preserve">  Intangible Plant</v>
      </c>
      <c r="E82" s="131" t="str">
        <f>" (ln "&amp;B62&amp;" - ln "&amp;B74&amp;")"</f>
        <v xml:space="preserve"> (ln 24 - ln 35)</v>
      </c>
      <c r="F82" s="131"/>
      <c r="G82" s="163">
        <f>+G62-G74</f>
        <v>3475207</v>
      </c>
      <c r="H82" s="154"/>
      <c r="I82" s="175"/>
      <c r="J82" s="344"/>
      <c r="K82" s="131"/>
      <c r="L82" s="163">
        <f>+L62-L74</f>
        <v>3239247.8916747654</v>
      </c>
      <c r="M82" s="108"/>
      <c r="N82" s="211">
        <v>3434667.7185147684</v>
      </c>
      <c r="O82" s="269"/>
      <c r="P82" s="211">
        <f t="shared" si="1"/>
        <v>195419.82684000302</v>
      </c>
    </row>
    <row r="83" spans="2:16" ht="15.75">
      <c r="B83" s="332">
        <f t="shared" si="4"/>
        <v>43</v>
      </c>
      <c r="C83" s="338"/>
      <c r="D83" s="205" t="s">
        <v>497</v>
      </c>
      <c r="E83" s="205" t="str">
        <f>"(sum lns "&amp;B78&amp;" to "&amp;B82&amp;")"</f>
        <v>(sum lns 38 to 42)</v>
      </c>
      <c r="F83" s="131"/>
      <c r="G83" s="154">
        <f>SUM(G78:G82)</f>
        <v>726092914.44500005</v>
      </c>
      <c r="H83" s="154"/>
      <c r="I83" s="153" t="s">
        <v>496</v>
      </c>
      <c r="J83" s="346">
        <f>IF(G83=0,0,L83/G83)</f>
        <v>0.92880955981852253</v>
      </c>
      <c r="K83" s="131"/>
      <c r="L83" s="154">
        <f>SUM(L79:L82)</f>
        <v>674402040.2530086</v>
      </c>
      <c r="M83" s="108"/>
      <c r="N83" s="209">
        <v>715221056.75092435</v>
      </c>
      <c r="O83" s="269"/>
      <c r="P83" s="209">
        <f t="shared" si="1"/>
        <v>40819016.497915745</v>
      </c>
    </row>
    <row r="84" spans="2:16">
      <c r="B84" s="134"/>
      <c r="C84" s="133"/>
      <c r="D84" s="135"/>
      <c r="E84" s="131"/>
      <c r="F84" s="131"/>
      <c r="G84" s="154"/>
      <c r="H84" s="154"/>
      <c r="I84" s="120"/>
      <c r="J84" s="126"/>
      <c r="K84" s="131"/>
      <c r="L84" s="154"/>
      <c r="M84" s="108"/>
      <c r="N84" s="209"/>
      <c r="O84" s="269"/>
      <c r="P84" s="209" t="str">
        <f t="shared" ref="P84:P115" si="5">IF(N84="","",N84-L84)</f>
        <v/>
      </c>
    </row>
    <row r="85" spans="2:16">
      <c r="B85" s="134"/>
      <c r="C85" s="133"/>
      <c r="D85" s="192"/>
      <c r="G85" s="108"/>
      <c r="H85" s="108"/>
      <c r="I85" s="108"/>
      <c r="J85" s="108"/>
      <c r="K85" s="108"/>
      <c r="L85" s="108"/>
      <c r="M85" s="108"/>
      <c r="N85" s="317"/>
      <c r="O85" s="269"/>
      <c r="P85" s="317" t="str">
        <f t="shared" si="5"/>
        <v/>
      </c>
    </row>
    <row r="86" spans="2:16">
      <c r="B86" s="134">
        <f>+B83+1</f>
        <v>44</v>
      </c>
      <c r="C86" s="133"/>
      <c r="D86" s="135" t="s">
        <v>495</v>
      </c>
      <c r="E86" s="131" t="s">
        <v>494</v>
      </c>
      <c r="F86" s="175"/>
      <c r="G86" s="108"/>
      <c r="H86" s="108"/>
      <c r="I86" s="108"/>
      <c r="J86" s="108"/>
      <c r="K86" s="108"/>
      <c r="L86" s="108"/>
      <c r="M86" s="108"/>
      <c r="N86" s="317"/>
      <c r="O86" s="269"/>
      <c r="P86" s="317" t="str">
        <f t="shared" si="5"/>
        <v/>
      </c>
    </row>
    <row r="87" spans="2:16">
      <c r="B87" s="332">
        <f t="shared" ref="B87:B92" si="6">+B86+1</f>
        <v>45</v>
      </c>
      <c r="C87" s="338"/>
      <c r="D87" s="155" t="s">
        <v>493</v>
      </c>
      <c r="E87" s="131" t="s">
        <v>492</v>
      </c>
      <c r="F87" s="131"/>
      <c r="G87" s="154">
        <f>+'[6]OKT Historic TCOS'!G97</f>
        <v>0</v>
      </c>
      <c r="H87" s="154"/>
      <c r="I87" s="175" t="s">
        <v>266</v>
      </c>
      <c r="J87" s="214"/>
      <c r="K87" s="131"/>
      <c r="L87" s="154">
        <v>0</v>
      </c>
      <c r="M87" s="108"/>
      <c r="N87" s="209">
        <v>0</v>
      </c>
      <c r="O87" s="269"/>
      <c r="P87" s="209">
        <f t="shared" si="5"/>
        <v>0</v>
      </c>
    </row>
    <row r="88" spans="2:16">
      <c r="B88" s="332">
        <f t="shared" si="6"/>
        <v>46</v>
      </c>
      <c r="C88" s="338"/>
      <c r="D88" s="155" t="s">
        <v>491</v>
      </c>
      <c r="E88" s="131" t="s">
        <v>490</v>
      </c>
      <c r="F88" s="343"/>
      <c r="G88" s="154">
        <f>+'[6]OKT WS C RB Tax'!D27</f>
        <v>-138967187.20499998</v>
      </c>
      <c r="H88" s="154"/>
      <c r="I88" s="175" t="s">
        <v>269</v>
      </c>
      <c r="J88" s="214"/>
      <c r="K88" s="131"/>
      <c r="L88" s="154">
        <f>+'[6]OKT WS C RB Tax'!J29</f>
        <v>-128929826.8780814</v>
      </c>
      <c r="M88" s="108"/>
      <c r="N88" s="209">
        <v>-138949542.61615685</v>
      </c>
      <c r="O88" s="269"/>
      <c r="P88" s="209">
        <f t="shared" si="5"/>
        <v>-10019715.73807545</v>
      </c>
    </row>
    <row r="89" spans="2:16">
      <c r="B89" s="332">
        <f t="shared" si="6"/>
        <v>47</v>
      </c>
      <c r="C89" s="338"/>
      <c r="D89" s="155" t="s">
        <v>489</v>
      </c>
      <c r="E89" s="131" t="s">
        <v>488</v>
      </c>
      <c r="F89" s="343"/>
      <c r="G89" s="154">
        <f>+'[6]OKT WS C RB Tax'!D44</f>
        <v>-30082607.450000003</v>
      </c>
      <c r="H89" s="154"/>
      <c r="I89" s="175" t="s">
        <v>269</v>
      </c>
      <c r="J89" s="214"/>
      <c r="K89" s="131"/>
      <c r="L89" s="154">
        <f>+'[6]OKT WS C RB Tax'!J46</f>
        <v>-24402326.359999999</v>
      </c>
      <c r="M89" s="108"/>
      <c r="N89" s="209">
        <v>-24402326.359999999</v>
      </c>
      <c r="O89" s="269"/>
      <c r="P89" s="209">
        <f t="shared" si="5"/>
        <v>0</v>
      </c>
    </row>
    <row r="90" spans="2:16">
      <c r="B90" s="332">
        <f t="shared" si="6"/>
        <v>48</v>
      </c>
      <c r="C90" s="338"/>
      <c r="D90" s="155" t="s">
        <v>487</v>
      </c>
      <c r="E90" s="131" t="s">
        <v>486</v>
      </c>
      <c r="F90" s="343"/>
      <c r="G90" s="154">
        <f>+'[6]OKT WS C RB Tax'!D62</f>
        <v>26611160.739999998</v>
      </c>
      <c r="H90" s="154"/>
      <c r="I90" s="175" t="s">
        <v>269</v>
      </c>
      <c r="J90" s="214"/>
      <c r="K90" s="131"/>
      <c r="L90" s="154">
        <f>+'[6]OKT WS C RB Tax'!J64</f>
        <v>10169596.981641255</v>
      </c>
      <c r="M90" s="108"/>
      <c r="N90" s="209">
        <v>10172950.07534682</v>
      </c>
      <c r="O90" s="269"/>
      <c r="P90" s="209">
        <f t="shared" si="5"/>
        <v>3353.0937055647373</v>
      </c>
    </row>
    <row r="91" spans="2:16" ht="15.75" thickBot="1">
      <c r="B91" s="332">
        <f t="shared" si="6"/>
        <v>49</v>
      </c>
      <c r="C91" s="338"/>
      <c r="D91" s="276" t="s">
        <v>485</v>
      </c>
      <c r="E91" s="131" t="s">
        <v>484</v>
      </c>
      <c r="F91" s="345"/>
      <c r="G91" s="163">
        <f>+'[6]OKT WS C RB Tax'!D79</f>
        <v>0</v>
      </c>
      <c r="H91" s="154"/>
      <c r="I91" s="175" t="s">
        <v>269</v>
      </c>
      <c r="J91" s="214"/>
      <c r="K91" s="131"/>
      <c r="L91" s="163">
        <f>+'[6]OKT WS C RB Tax'!J81</f>
        <v>0</v>
      </c>
      <c r="M91" s="108"/>
      <c r="N91" s="211">
        <v>0</v>
      </c>
      <c r="O91" s="269"/>
      <c r="P91" s="211">
        <f t="shared" si="5"/>
        <v>0</v>
      </c>
    </row>
    <row r="92" spans="2:16">
      <c r="B92" s="332">
        <f t="shared" si="6"/>
        <v>50</v>
      </c>
      <c r="C92" s="338"/>
      <c r="D92" s="205" t="s">
        <v>483</v>
      </c>
      <c r="E92" s="205" t="str">
        <f>"(sum lns "&amp;B87&amp;" to "&amp;B91&amp;")"</f>
        <v>(sum lns 45 to 49)</v>
      </c>
      <c r="F92" s="131"/>
      <c r="G92" s="154">
        <f>SUM(G87:G91)</f>
        <v>-142438633.91499996</v>
      </c>
      <c r="H92" s="143"/>
      <c r="I92" s="175"/>
      <c r="J92" s="166"/>
      <c r="K92" s="131"/>
      <c r="L92" s="154">
        <f>SUM(L87:L91)</f>
        <v>-143162556.25644013</v>
      </c>
      <c r="M92" s="108"/>
      <c r="N92" s="209">
        <v>-153178918.90081</v>
      </c>
      <c r="O92" s="151"/>
      <c r="P92" s="209">
        <f t="shared" si="5"/>
        <v>-10016362.64436987</v>
      </c>
    </row>
    <row r="93" spans="2:16">
      <c r="B93" s="134"/>
      <c r="C93" s="133"/>
      <c r="D93" s="205"/>
      <c r="E93" s="131"/>
      <c r="F93" s="131"/>
      <c r="G93" s="154"/>
      <c r="H93" s="143"/>
      <c r="I93" s="175"/>
      <c r="J93" s="344"/>
      <c r="K93" s="131"/>
      <c r="L93" s="154"/>
      <c r="M93" s="108"/>
      <c r="N93" s="209"/>
      <c r="O93" s="151"/>
      <c r="P93" s="209" t="str">
        <f t="shared" si="5"/>
        <v/>
      </c>
    </row>
    <row r="94" spans="2:16">
      <c r="B94" s="134">
        <f>+B92+1</f>
        <v>51</v>
      </c>
      <c r="C94" s="133"/>
      <c r="D94" s="205" t="s">
        <v>482</v>
      </c>
      <c r="E94" s="131" t="s">
        <v>481</v>
      </c>
      <c r="F94" s="131"/>
      <c r="G94" s="154">
        <f>+'[6]OKT WS A RB Support '!G78</f>
        <v>0</v>
      </c>
      <c r="H94" s="143"/>
      <c r="I94" s="175" t="s">
        <v>269</v>
      </c>
      <c r="J94" s="214"/>
      <c r="K94" s="131"/>
      <c r="L94" s="154">
        <f>+'[6]OKT WS A RB Support '!G80</f>
        <v>0</v>
      </c>
      <c r="M94" s="108"/>
      <c r="N94" s="209">
        <v>0</v>
      </c>
      <c r="O94" s="151"/>
      <c r="P94" s="209">
        <f t="shared" si="5"/>
        <v>0</v>
      </c>
    </row>
    <row r="95" spans="2:16">
      <c r="B95" s="134"/>
      <c r="C95" s="133"/>
      <c r="D95" s="205"/>
      <c r="E95" s="131"/>
      <c r="F95" s="131"/>
      <c r="G95" s="154"/>
      <c r="H95" s="143"/>
      <c r="I95" s="175"/>
      <c r="J95" s="214"/>
      <c r="K95" s="131"/>
      <c r="L95" s="154"/>
      <c r="M95" s="108"/>
      <c r="N95" s="209"/>
      <c r="O95" s="151"/>
      <c r="P95" s="209" t="str">
        <f t="shared" si="5"/>
        <v/>
      </c>
    </row>
    <row r="96" spans="2:16" s="105" customFormat="1">
      <c r="B96" s="115" t="s">
        <v>480</v>
      </c>
      <c r="C96" s="114"/>
      <c r="D96" s="155" t="s">
        <v>479</v>
      </c>
      <c r="E96" s="131" t="str">
        <f>"(Worksheet A ln "&amp;'[6]OKT WS A RB Support '!A96&amp;". "&amp;'[6]OKT WS A RB Support '!G6&amp;")"</f>
        <v>(Worksheet A ln NOTE 1 . (E))</v>
      </c>
      <c r="F96" s="131"/>
      <c r="G96" s="154">
        <f>'[6]OKT WS A RB Support '!G96</f>
        <v>0</v>
      </c>
      <c r="H96" s="304"/>
      <c r="I96" s="175" t="s">
        <v>269</v>
      </c>
      <c r="J96" s="214"/>
      <c r="K96" s="131"/>
      <c r="L96" s="154">
        <f>+G96</f>
        <v>0</v>
      </c>
      <c r="M96" s="304"/>
      <c r="N96" s="209">
        <v>0</v>
      </c>
      <c r="O96" s="151"/>
      <c r="P96" s="209">
        <f t="shared" si="5"/>
        <v>0</v>
      </c>
    </row>
    <row r="97" spans="1:16">
      <c r="B97" s="134"/>
      <c r="C97" s="133"/>
      <c r="D97" s="205"/>
      <c r="E97" s="131"/>
      <c r="F97" s="131"/>
      <c r="G97" s="154"/>
      <c r="H97" s="143"/>
      <c r="I97" s="175"/>
      <c r="J97" s="214"/>
      <c r="K97" s="131"/>
      <c r="L97" s="154"/>
      <c r="M97" s="108"/>
      <c r="N97" s="209"/>
      <c r="O97" s="151"/>
      <c r="P97" s="209" t="str">
        <f t="shared" si="5"/>
        <v/>
      </c>
    </row>
    <row r="98" spans="1:16">
      <c r="B98" s="134">
        <f>+B94+1</f>
        <v>52</v>
      </c>
      <c r="C98" s="133"/>
      <c r="D98" s="205" t="s">
        <v>478</v>
      </c>
      <c r="E98" s="131" t="s">
        <v>477</v>
      </c>
      <c r="F98" s="131"/>
      <c r="G98" s="154"/>
      <c r="H98" s="143"/>
      <c r="I98" s="175"/>
      <c r="J98" s="131"/>
      <c r="K98" s="131"/>
      <c r="L98" s="154"/>
      <c r="M98" s="108"/>
      <c r="N98" s="209"/>
      <c r="O98" s="151"/>
      <c r="P98" s="209" t="str">
        <f t="shared" si="5"/>
        <v/>
      </c>
    </row>
    <row r="99" spans="1:16">
      <c r="B99" s="332">
        <f t="shared" ref="B99:B107" si="7">+B98+1</f>
        <v>53</v>
      </c>
      <c r="C99" s="338"/>
      <c r="D99" s="205" t="s">
        <v>476</v>
      </c>
      <c r="E99" s="120" t="str">
        <f>"(1/8 * ln "&amp;B130&amp;") (Note G)"</f>
        <v>(1/8 * ln 68) (Note G)</v>
      </c>
      <c r="F99" s="120"/>
      <c r="G99" s="154">
        <f>+G130/8</f>
        <v>1044747.25</v>
      </c>
      <c r="H99" s="131"/>
      <c r="I99" s="175"/>
      <c r="J99" s="344"/>
      <c r="K99" s="131"/>
      <c r="L99" s="154">
        <f>+L130/8</f>
        <v>973811.1504999582</v>
      </c>
      <c r="M99" s="108"/>
      <c r="N99" s="209">
        <v>1032559.9751560349</v>
      </c>
      <c r="O99" s="151"/>
      <c r="P99" s="209">
        <f t="shared" si="5"/>
        <v>58748.824656076729</v>
      </c>
    </row>
    <row r="100" spans="1:16">
      <c r="B100" s="342">
        <f t="shared" si="7"/>
        <v>54</v>
      </c>
      <c r="C100" s="341"/>
      <c r="D100" s="205" t="s">
        <v>475</v>
      </c>
      <c r="E100" s="131" t="str">
        <f>"(Worksheet D, ln "&amp;'[6]OKT WS D Working Capital'!A15&amp;"."&amp;'[6]OKT WS D Working Capital'!I$6&amp;")"</f>
        <v>(Worksheet D, ln 2.(F))</v>
      </c>
      <c r="F100" s="343"/>
      <c r="G100" s="154">
        <f>+'[6]OKT WS D Working Capital'!I15</f>
        <v>0</v>
      </c>
      <c r="H100" s="108"/>
      <c r="I100" s="204" t="s">
        <v>264</v>
      </c>
      <c r="J100" s="214">
        <f t="shared" ref="J100:J106" si="8">VLOOKUP(I100,PSO_TU_Allocators,2,FALSE)</f>
        <v>0.93210214288667259</v>
      </c>
      <c r="K100" s="139"/>
      <c r="L100" s="210">
        <f>+J100*G100</f>
        <v>0</v>
      </c>
      <c r="M100" s="108"/>
      <c r="N100" s="209">
        <v>0</v>
      </c>
      <c r="O100" s="151"/>
      <c r="P100" s="209">
        <f t="shared" si="5"/>
        <v>0</v>
      </c>
    </row>
    <row r="101" spans="1:16">
      <c r="B101" s="342">
        <f t="shared" si="7"/>
        <v>55</v>
      </c>
      <c r="C101" s="341"/>
      <c r="D101" s="205" t="s">
        <v>474</v>
      </c>
      <c r="E101" s="131" t="str">
        <f>"(Worksheet D, ln "&amp;'[6]OKT WS D Working Capital'!A17&amp;"."&amp;'[6]OKT WS D Working Capital'!I$6&amp;")"</f>
        <v>(Worksheet D, ln 3.(F))</v>
      </c>
      <c r="F101" s="343"/>
      <c r="G101" s="154">
        <f>+'[6]OKT WS D Working Capital'!I17</f>
        <v>0</v>
      </c>
      <c r="H101" s="108"/>
      <c r="I101" s="204" t="s">
        <v>262</v>
      </c>
      <c r="J101" s="214">
        <f t="shared" si="8"/>
        <v>0.9321021428866727</v>
      </c>
      <c r="K101" s="139"/>
      <c r="L101" s="210">
        <f>+J101*G101</f>
        <v>0</v>
      </c>
      <c r="M101" s="108"/>
      <c r="N101" s="209">
        <v>0</v>
      </c>
      <c r="O101" s="151"/>
      <c r="P101" s="209">
        <f t="shared" si="5"/>
        <v>0</v>
      </c>
    </row>
    <row r="102" spans="1:16">
      <c r="B102" s="342">
        <f t="shared" si="7"/>
        <v>56</v>
      </c>
      <c r="C102" s="341"/>
      <c r="D102" s="205" t="s">
        <v>473</v>
      </c>
      <c r="E102" s="131" t="str">
        <f>"(Worksheet D, ln "&amp;'[6]OKT WS D Working Capital'!A19&amp;"."&amp;'[6]OKT WS D Working Capital'!I$6&amp;")"</f>
        <v>(Worksheet D, ln 4.(F))</v>
      </c>
      <c r="F102" s="343"/>
      <c r="G102" s="154">
        <f>+'[6]OKT WS D Working Capital'!I19</f>
        <v>0</v>
      </c>
      <c r="H102" s="108"/>
      <c r="I102" s="204" t="s">
        <v>268</v>
      </c>
      <c r="J102" s="214">
        <f t="shared" si="8"/>
        <v>0.93210214288667248</v>
      </c>
      <c r="K102" s="139"/>
      <c r="L102" s="210">
        <f>+J102*G102</f>
        <v>0</v>
      </c>
      <c r="M102" s="108"/>
      <c r="N102" s="209">
        <v>0</v>
      </c>
      <c r="O102" s="151"/>
      <c r="P102" s="209">
        <f t="shared" si="5"/>
        <v>0</v>
      </c>
    </row>
    <row r="103" spans="1:16">
      <c r="A103" s="105"/>
      <c r="B103" s="342">
        <f t="shared" si="7"/>
        <v>57</v>
      </c>
      <c r="C103" s="341"/>
      <c r="D103" s="155" t="s">
        <v>472</v>
      </c>
      <c r="E103" s="131" t="s">
        <v>471</v>
      </c>
      <c r="F103" s="339"/>
      <c r="G103" s="154">
        <f>+'[6]OKT WS D Working Capital'!J29</f>
        <v>0</v>
      </c>
      <c r="H103" s="340"/>
      <c r="I103" s="175" t="s">
        <v>262</v>
      </c>
      <c r="J103" s="214">
        <f t="shared" si="8"/>
        <v>0.9321021428866727</v>
      </c>
      <c r="K103" s="131"/>
      <c r="L103" s="154">
        <f>+J103*G103</f>
        <v>0</v>
      </c>
      <c r="M103" s="108"/>
      <c r="N103" s="209">
        <v>0</v>
      </c>
      <c r="O103" s="151"/>
      <c r="P103" s="209">
        <f t="shared" si="5"/>
        <v>0</v>
      </c>
    </row>
    <row r="104" spans="1:16">
      <c r="B104" s="332">
        <f t="shared" si="7"/>
        <v>58</v>
      </c>
      <c r="C104" s="338"/>
      <c r="D104" s="205" t="s">
        <v>470</v>
      </c>
      <c r="E104" s="131" t="s">
        <v>469</v>
      </c>
      <c r="F104" s="339"/>
      <c r="G104" s="154">
        <f>+'[6]OKT WS D Working Capital'!I29</f>
        <v>65004.57</v>
      </c>
      <c r="H104" s="143"/>
      <c r="I104" s="175" t="s">
        <v>268</v>
      </c>
      <c r="J104" s="214">
        <f t="shared" si="8"/>
        <v>0.93210214288667248</v>
      </c>
      <c r="K104" s="131"/>
      <c r="L104" s="154">
        <f>+G104*J104</f>
        <v>60590.898994426701</v>
      </c>
      <c r="M104" s="108"/>
      <c r="N104" s="209">
        <v>64246.273138530625</v>
      </c>
      <c r="O104" s="151"/>
      <c r="P104" s="209">
        <f t="shared" si="5"/>
        <v>3655.3741441039238</v>
      </c>
    </row>
    <row r="105" spans="1:16">
      <c r="B105" s="332">
        <f t="shared" si="7"/>
        <v>59</v>
      </c>
      <c r="C105" s="338"/>
      <c r="D105" s="205" t="s">
        <v>468</v>
      </c>
      <c r="E105" s="131" t="s">
        <v>467</v>
      </c>
      <c r="F105" s="339"/>
      <c r="G105" s="154">
        <f>+'[6]OKT WS D Working Capital'!G29</f>
        <v>7750</v>
      </c>
      <c r="H105" s="143"/>
      <c r="I105" s="175" t="s">
        <v>269</v>
      </c>
      <c r="J105" s="214">
        <f t="shared" si="8"/>
        <v>1</v>
      </c>
      <c r="K105" s="131"/>
      <c r="L105" s="154">
        <f>+G105</f>
        <v>7750</v>
      </c>
      <c r="M105" s="108"/>
      <c r="N105" s="209">
        <v>7750</v>
      </c>
      <c r="O105" s="151"/>
      <c r="P105" s="209">
        <f t="shared" si="5"/>
        <v>0</v>
      </c>
    </row>
    <row r="106" spans="1:16" ht="15.75" thickBot="1">
      <c r="B106" s="332">
        <f t="shared" si="7"/>
        <v>60</v>
      </c>
      <c r="C106" s="338"/>
      <c r="D106" s="205" t="s">
        <v>466</v>
      </c>
      <c r="E106" s="131" t="s">
        <v>465</v>
      </c>
      <c r="F106" s="339"/>
      <c r="G106" s="163">
        <f>+'[6]OKT WS D Working Capital'!E29</f>
        <v>0</v>
      </c>
      <c r="H106" s="154"/>
      <c r="I106" s="175" t="s">
        <v>266</v>
      </c>
      <c r="J106" s="214">
        <f t="shared" si="8"/>
        <v>0</v>
      </c>
      <c r="K106" s="131"/>
      <c r="L106" s="163">
        <f>+G106*J106</f>
        <v>0</v>
      </c>
      <c r="M106" s="108"/>
      <c r="N106" s="211">
        <v>0</v>
      </c>
      <c r="O106" s="151"/>
      <c r="P106" s="211">
        <f t="shared" si="5"/>
        <v>0</v>
      </c>
    </row>
    <row r="107" spans="1:16">
      <c r="B107" s="332">
        <f t="shared" si="7"/>
        <v>61</v>
      </c>
      <c r="C107" s="338"/>
      <c r="D107" s="205" t="s">
        <v>464</v>
      </c>
      <c r="E107" s="205" t="str">
        <f>"(sum lns "&amp;B99&amp;" to "&amp;B106&amp;")"</f>
        <v>(sum lns 53 to 60)</v>
      </c>
      <c r="F107" s="125"/>
      <c r="G107" s="154">
        <f>SUM(G99:G106)</f>
        <v>1117501.82</v>
      </c>
      <c r="H107" s="125"/>
      <c r="I107" s="114"/>
      <c r="J107" s="125"/>
      <c r="K107" s="125"/>
      <c r="L107" s="154">
        <f>SUM(L99:L106)</f>
        <v>1042152.0494943849</v>
      </c>
      <c r="M107" s="108"/>
      <c r="N107" s="209">
        <v>1104556.2482945656</v>
      </c>
      <c r="O107" s="151"/>
      <c r="P107" s="209">
        <f t="shared" si="5"/>
        <v>62404.198800180689</v>
      </c>
    </row>
    <row r="108" spans="1:16">
      <c r="B108" s="134"/>
      <c r="C108" s="133"/>
      <c r="D108" s="205"/>
      <c r="E108" s="138"/>
      <c r="F108" s="138"/>
      <c r="G108" s="210"/>
      <c r="H108" s="138"/>
      <c r="I108" s="133"/>
      <c r="J108" s="138"/>
      <c r="K108" s="138"/>
      <c r="L108" s="210"/>
      <c r="M108" s="108"/>
      <c r="N108" s="209"/>
      <c r="O108" s="151"/>
      <c r="P108" s="209" t="str">
        <f t="shared" si="5"/>
        <v/>
      </c>
    </row>
    <row r="109" spans="1:16">
      <c r="B109" s="134">
        <f>+B107+1</f>
        <v>62</v>
      </c>
      <c r="C109" s="133"/>
      <c r="D109" s="155" t="s">
        <v>463</v>
      </c>
      <c r="E109" s="135" t="str">
        <f>"(Note H) (Worksheet E, ln "&amp;'[6]OKT WS E IPP Credits'!A21&amp;".(B))"</f>
        <v>(Note H) (Worksheet E, ln 8.(B))</v>
      </c>
      <c r="F109" s="138"/>
      <c r="G109" s="154">
        <f>IF(G63=0,0,-'[6]OKT WS E IPP Credits'!C21)</f>
        <v>-30000</v>
      </c>
      <c r="H109" s="138"/>
      <c r="I109" s="258" t="s">
        <v>269</v>
      </c>
      <c r="J109" s="214">
        <f>VLOOKUP(I109,PSO_TU_Allocators,2,FALSE)</f>
        <v>1</v>
      </c>
      <c r="K109" s="139"/>
      <c r="L109" s="210">
        <f>+J109*G109</f>
        <v>-30000</v>
      </c>
      <c r="M109" s="108"/>
      <c r="N109" s="209">
        <v>-30000</v>
      </c>
      <c r="O109" s="151"/>
      <c r="P109" s="209">
        <f t="shared" si="5"/>
        <v>0</v>
      </c>
    </row>
    <row r="110" spans="1:16" ht="15.75" thickBot="1">
      <c r="B110" s="336"/>
      <c r="C110" s="192"/>
      <c r="D110" s="276"/>
      <c r="E110" s="139"/>
      <c r="F110" s="139"/>
      <c r="G110" s="212"/>
      <c r="H110" s="139"/>
      <c r="I110" s="204"/>
      <c r="J110" s="139"/>
      <c r="K110" s="139"/>
      <c r="L110" s="212"/>
      <c r="M110" s="108"/>
      <c r="N110" s="211"/>
      <c r="O110" s="151"/>
      <c r="P110" s="211" t="str">
        <f t="shared" si="5"/>
        <v/>
      </c>
    </row>
    <row r="111" spans="1:16" ht="15.75" thickBot="1">
      <c r="B111" s="134">
        <f>+B109+1</f>
        <v>63</v>
      </c>
      <c r="C111" s="133"/>
      <c r="D111" s="135" t="str">
        <f>"RATE BASE  (sum lns "&amp;B83&amp;", "&amp;B92&amp;", "&amp;B94&amp;", "&amp;B107&amp;", "&amp;B109&amp;")"</f>
        <v>RATE BASE  (sum lns 43, 50, 51, 61, 62)</v>
      </c>
      <c r="E111" s="139"/>
      <c r="F111" s="139"/>
      <c r="G111" s="254">
        <f>+G107+G94+G92+G83+G109</f>
        <v>584741782.35000014</v>
      </c>
      <c r="H111" s="139"/>
      <c r="I111" s="139"/>
      <c r="J111" s="267"/>
      <c r="K111" s="139"/>
      <c r="L111" s="254">
        <f>+L107+L94+L92+L83+L109</f>
        <v>532251636.04606283</v>
      </c>
      <c r="M111" s="108"/>
      <c r="N111" s="253">
        <v>563116694.09840894</v>
      </c>
      <c r="O111" s="151"/>
      <c r="P111" s="253">
        <f t="shared" si="5"/>
        <v>30865058.05234611</v>
      </c>
    </row>
    <row r="112" spans="1:16" ht="16.5" thickTop="1">
      <c r="B112" s="134"/>
      <c r="C112" s="108"/>
      <c r="D112" s="108"/>
      <c r="E112" s="337"/>
      <c r="F112" s="108"/>
      <c r="G112" s="108"/>
      <c r="H112" s="108"/>
      <c r="I112" s="249"/>
      <c r="J112" s="249"/>
      <c r="K112" s="249"/>
      <c r="L112" s="120"/>
      <c r="M112" s="108"/>
      <c r="N112" s="242"/>
      <c r="O112" s="151"/>
      <c r="P112" s="242" t="str">
        <f t="shared" si="5"/>
        <v/>
      </c>
    </row>
    <row r="113" spans="1:16">
      <c r="B113" s="134"/>
      <c r="C113" s="133"/>
      <c r="D113" s="135"/>
      <c r="E113" s="139"/>
      <c r="F113" s="139"/>
      <c r="G113" s="139"/>
      <c r="H113" s="139"/>
      <c r="I113" s="139"/>
      <c r="J113" s="139"/>
      <c r="K113" s="139"/>
      <c r="L113" s="139"/>
      <c r="M113" s="108"/>
      <c r="N113" s="174"/>
      <c r="O113" s="151"/>
      <c r="P113" s="174" t="str">
        <f t="shared" si="5"/>
        <v/>
      </c>
    </row>
    <row r="114" spans="1:16">
      <c r="B114" s="134"/>
      <c r="C114" s="133"/>
      <c r="D114" s="135"/>
      <c r="E114" s="139"/>
      <c r="F114" s="204" t="str">
        <f>F42</f>
        <v xml:space="preserve">AEP West SPP Member Companies </v>
      </c>
      <c r="G114" s="204"/>
      <c r="H114" s="139"/>
      <c r="I114" s="139"/>
      <c r="J114" s="139"/>
      <c r="K114" s="139"/>
      <c r="L114" s="139"/>
      <c r="M114" s="108"/>
      <c r="N114" s="174"/>
      <c r="O114" s="151"/>
      <c r="P114" s="174" t="str">
        <f t="shared" si="5"/>
        <v/>
      </c>
    </row>
    <row r="115" spans="1:16">
      <c r="B115" s="134"/>
      <c r="C115" s="133"/>
      <c r="D115" s="135"/>
      <c r="E115" s="139"/>
      <c r="F115" s="204" t="str">
        <f>F43</f>
        <v>Transmission Cost of Service Formula Rate</v>
      </c>
      <c r="G115" s="204"/>
      <c r="H115" s="139"/>
      <c r="I115" s="139"/>
      <c r="J115" s="139"/>
      <c r="K115" s="139"/>
      <c r="L115" s="139"/>
      <c r="M115" s="108"/>
      <c r="N115" s="174"/>
      <c r="O115" s="151"/>
      <c r="P115" s="174" t="str">
        <f t="shared" si="5"/>
        <v/>
      </c>
    </row>
    <row r="116" spans="1:16">
      <c r="B116" s="134"/>
      <c r="C116" s="133"/>
      <c r="D116" s="192"/>
      <c r="E116" s="139"/>
      <c r="F116" s="204" t="str">
        <f>F44</f>
        <v>Utilizing Actual Cost Data for 2017 with Average Ratebase Balances</v>
      </c>
      <c r="G116" s="139"/>
      <c r="H116" s="139"/>
      <c r="I116" s="139"/>
      <c r="J116" s="139"/>
      <c r="K116" s="139"/>
      <c r="L116" s="139"/>
      <c r="M116" s="108"/>
      <c r="N116" s="174"/>
      <c r="O116" s="151"/>
      <c r="P116" s="174" t="str">
        <f t="shared" ref="P116:P121" si="9">IF(N116="","",N116-L116)</f>
        <v/>
      </c>
    </row>
    <row r="117" spans="1:16">
      <c r="B117" s="134"/>
      <c r="C117" s="133"/>
      <c r="D117" s="192"/>
      <c r="E117" s="139"/>
      <c r="F117" s="204"/>
      <c r="G117" s="139"/>
      <c r="H117" s="139"/>
      <c r="I117" s="139"/>
      <c r="J117" s="139"/>
      <c r="K117" s="139"/>
      <c r="L117" s="139"/>
      <c r="M117" s="108"/>
      <c r="N117" s="174"/>
      <c r="O117" s="151"/>
      <c r="P117" s="174" t="str">
        <f t="shared" si="9"/>
        <v/>
      </c>
    </row>
    <row r="118" spans="1:16">
      <c r="B118" s="134"/>
      <c r="C118" s="133"/>
      <c r="D118" s="192"/>
      <c r="E118" s="140"/>
      <c r="F118" s="204" t="str">
        <f>F46</f>
        <v>AEP OKLAHOMA TRANSMISSION COMPANY, INC</v>
      </c>
      <c r="G118" s="140"/>
      <c r="H118" s="122"/>
      <c r="I118" s="140"/>
      <c r="J118" s="140"/>
      <c r="K118" s="140"/>
      <c r="L118" s="192"/>
      <c r="M118" s="108"/>
      <c r="N118" s="242"/>
      <c r="O118" s="151"/>
      <c r="P118" s="242" t="str">
        <f t="shared" si="9"/>
        <v/>
      </c>
    </row>
    <row r="119" spans="1:16">
      <c r="B119" s="134"/>
      <c r="C119" s="133"/>
      <c r="D119" s="192"/>
      <c r="E119" s="140"/>
      <c r="F119" s="204"/>
      <c r="G119" s="140"/>
      <c r="H119" s="122"/>
      <c r="I119" s="140"/>
      <c r="J119" s="140"/>
      <c r="K119" s="140"/>
      <c r="L119" s="192"/>
      <c r="M119" s="108"/>
      <c r="N119" s="242"/>
      <c r="O119" s="151"/>
      <c r="P119" s="242" t="str">
        <f t="shared" si="9"/>
        <v/>
      </c>
    </row>
    <row r="120" spans="1:16">
      <c r="B120" s="336"/>
      <c r="C120" s="192"/>
      <c r="D120" s="133" t="s">
        <v>462</v>
      </c>
      <c r="E120" s="133" t="s">
        <v>461</v>
      </c>
      <c r="F120" s="133"/>
      <c r="G120" s="133" t="s">
        <v>460</v>
      </c>
      <c r="H120" s="131"/>
      <c r="I120" s="481" t="s">
        <v>459</v>
      </c>
      <c r="J120" s="482"/>
      <c r="K120" s="139"/>
      <c r="L120" s="335" t="s">
        <v>458</v>
      </c>
      <c r="M120" s="108"/>
      <c r="N120" s="334" t="s">
        <v>458</v>
      </c>
      <c r="O120" s="151"/>
      <c r="P120" s="334">
        <f t="shared" si="9"/>
        <v>0</v>
      </c>
    </row>
    <row r="121" spans="1:16" ht="15.75">
      <c r="B121" s="104"/>
      <c r="C121" s="192"/>
      <c r="D121" s="133"/>
      <c r="E121" s="133"/>
      <c r="F121" s="133"/>
      <c r="G121" s="133"/>
      <c r="H121" s="131"/>
      <c r="I121" s="139"/>
      <c r="J121" s="333"/>
      <c r="K121" s="139"/>
      <c r="L121" s="192"/>
      <c r="M121" s="108"/>
      <c r="N121" s="242"/>
      <c r="O121" s="327"/>
      <c r="P121" s="242" t="str">
        <f t="shared" si="9"/>
        <v/>
      </c>
    </row>
    <row r="122" spans="1:16" ht="15.75">
      <c r="B122" s="332"/>
      <c r="C122" s="133"/>
      <c r="D122" s="141" t="s">
        <v>457</v>
      </c>
      <c r="E122" s="330" t="str">
        <f>E50</f>
        <v>Data Sources</v>
      </c>
      <c r="F122" s="331"/>
      <c r="G122" s="139"/>
      <c r="H122" s="131"/>
      <c r="I122" s="139"/>
      <c r="J122" s="133"/>
      <c r="K122" s="139"/>
      <c r="L122" s="330" t="str">
        <f>L50</f>
        <v>Total</v>
      </c>
      <c r="M122" s="108"/>
      <c r="N122" s="329" t="s">
        <v>372</v>
      </c>
      <c r="O122" s="327"/>
      <c r="P122" s="329" t="s">
        <v>372</v>
      </c>
    </row>
    <row r="123" spans="1:16" ht="15.75">
      <c r="B123" s="104"/>
      <c r="C123" s="132"/>
      <c r="D123" s="322" t="s">
        <v>456</v>
      </c>
      <c r="E123" s="328" t="str">
        <f>E51</f>
        <v>(See "General Notes")</v>
      </c>
      <c r="F123" s="139"/>
      <c r="G123" s="328" t="str">
        <f>G51</f>
        <v>TO Total</v>
      </c>
      <c r="H123" s="196"/>
      <c r="I123" s="471" t="str">
        <f>I51</f>
        <v>Allocator</v>
      </c>
      <c r="J123" s="472"/>
      <c r="K123" s="191"/>
      <c r="L123" s="328" t="str">
        <f>L51</f>
        <v>Transmission</v>
      </c>
      <c r="M123" s="108"/>
      <c r="N123" s="326" t="s">
        <v>455</v>
      </c>
      <c r="O123" s="327"/>
      <c r="P123" s="326" t="s">
        <v>455</v>
      </c>
    </row>
    <row r="124" spans="1:16" ht="15.75">
      <c r="B124" s="325" t="str">
        <f>B52</f>
        <v>Line</v>
      </c>
      <c r="C124" s="192"/>
      <c r="D124" s="135"/>
      <c r="E124" s="139"/>
      <c r="F124" s="139"/>
      <c r="G124" s="322"/>
      <c r="H124" s="324"/>
      <c r="I124" s="141"/>
      <c r="J124" s="192"/>
      <c r="K124" s="323"/>
      <c r="L124" s="322"/>
      <c r="M124" s="108"/>
      <c r="N124" s="321"/>
      <c r="O124" s="151"/>
      <c r="P124" s="321" t="str">
        <f t="shared" ref="P124:P155" si="10">IF(N124="","",N124-L124)</f>
        <v/>
      </c>
    </row>
    <row r="125" spans="1:16" ht="15.75" thickBot="1">
      <c r="B125" s="243" t="str">
        <f>B53</f>
        <v>No.</v>
      </c>
      <c r="C125" s="133"/>
      <c r="D125" s="135" t="s">
        <v>454</v>
      </c>
      <c r="E125" s="139"/>
      <c r="F125" s="139"/>
      <c r="G125" s="139"/>
      <c r="H125" s="131"/>
      <c r="I125" s="204"/>
      <c r="J125" s="139"/>
      <c r="K125" s="139"/>
      <c r="L125" s="139"/>
      <c r="M125" s="108"/>
      <c r="N125" s="174"/>
      <c r="O125" s="151"/>
      <c r="P125" s="174" t="str">
        <f t="shared" si="10"/>
        <v/>
      </c>
    </row>
    <row r="126" spans="1:16">
      <c r="B126" s="319">
        <f>+B111+1</f>
        <v>64</v>
      </c>
      <c r="C126" s="133"/>
      <c r="D126" s="119" t="s">
        <v>453</v>
      </c>
      <c r="E126" s="139" t="s">
        <v>452</v>
      </c>
      <c r="F126" s="131"/>
      <c r="G126" s="237">
        <f>+'[6]OKT Historic TCOS'!G136</f>
        <v>8931259</v>
      </c>
      <c r="H126" s="154"/>
      <c r="I126" s="108"/>
      <c r="J126" s="108"/>
      <c r="K126" s="108"/>
      <c r="L126" s="108"/>
      <c r="M126" s="108"/>
      <c r="N126" s="317"/>
      <c r="O126" s="269"/>
      <c r="P126" s="317" t="str">
        <f t="shared" si="10"/>
        <v/>
      </c>
    </row>
    <row r="127" spans="1:16">
      <c r="A127" s="108"/>
      <c r="B127" s="319">
        <f>+B126+1</f>
        <v>65</v>
      </c>
      <c r="C127" s="133"/>
      <c r="D127" s="119" t="s">
        <v>451</v>
      </c>
      <c r="E127" s="131" t="s">
        <v>435</v>
      </c>
      <c r="F127" s="131"/>
      <c r="G127" s="237">
        <f>+'[6]OKT Historic TCOS'!G137</f>
        <v>573281</v>
      </c>
      <c r="H127" s="154"/>
      <c r="I127" s="108"/>
      <c r="J127" s="108"/>
      <c r="K127" s="108"/>
      <c r="L127" s="108"/>
      <c r="M127" s="108"/>
      <c r="N127" s="317"/>
      <c r="O127" s="269"/>
      <c r="P127" s="317" t="str">
        <f t="shared" si="10"/>
        <v/>
      </c>
    </row>
    <row r="128" spans="1:16">
      <c r="A128" s="108"/>
      <c r="B128" s="319">
        <f>+B127+1</f>
        <v>66</v>
      </c>
      <c r="C128" s="133"/>
      <c r="D128" s="119" t="s">
        <v>450</v>
      </c>
      <c r="E128" s="131" t="s">
        <v>433</v>
      </c>
      <c r="F128" s="131"/>
      <c r="G128" s="237">
        <f>+'[6]OKT Historic TCOS'!G138</f>
        <v>0</v>
      </c>
      <c r="H128" s="154"/>
      <c r="I128" s="108"/>
      <c r="J128" s="108"/>
      <c r="K128" s="108"/>
      <c r="L128" s="108"/>
      <c r="M128" s="108"/>
      <c r="N128" s="317"/>
      <c r="O128" s="269"/>
      <c r="P128" s="317" t="str">
        <f t="shared" si="10"/>
        <v/>
      </c>
    </row>
    <row r="129" spans="1:16" ht="15.75" thickBot="1">
      <c r="A129" s="108"/>
      <c r="B129" s="319">
        <f>+B128+1</f>
        <v>67</v>
      </c>
      <c r="C129" s="133"/>
      <c r="D129" s="119" t="str">
        <f>"Less: expenses 100% assigned to TO billed customers (Worksheet I, ln "&amp;'[6]OKT WS I Exp Adj'!B21&amp;")"</f>
        <v>Less: expenses 100% assigned to TO billed customers (Worksheet I, ln 14)</v>
      </c>
      <c r="E129" s="131"/>
      <c r="F129" s="131"/>
      <c r="G129" s="320">
        <f>+'[6]OKT WS I Exp Adj'!G21</f>
        <v>0</v>
      </c>
      <c r="H129" s="154"/>
      <c r="I129" s="108"/>
      <c r="J129" s="108"/>
      <c r="K129" s="108"/>
      <c r="L129" s="108"/>
      <c r="M129" s="108"/>
      <c r="N129" s="317"/>
      <c r="O129" s="269"/>
      <c r="P129" s="317" t="str">
        <f t="shared" si="10"/>
        <v/>
      </c>
    </row>
    <row r="130" spans="1:16">
      <c r="A130" s="108"/>
      <c r="B130" s="319">
        <f>+B129+1</f>
        <v>68</v>
      </c>
      <c r="C130" s="133"/>
      <c r="D130" s="119" t="s">
        <v>449</v>
      </c>
      <c r="E130" s="139" t="str">
        <f>"(lns "&amp;B126&amp;" - "&amp;B127&amp;" - "&amp;B128&amp;" - "&amp;B129&amp;")"</f>
        <v>(lns 64 - 65 - 66 - 67)</v>
      </c>
      <c r="F130" s="119"/>
      <c r="G130" s="154">
        <f>+G126-G127-G128-G129</f>
        <v>8357978</v>
      </c>
      <c r="H130" s="131"/>
      <c r="I130" s="204" t="s">
        <v>264</v>
      </c>
      <c r="J130" s="214">
        <f>VLOOKUP(I130,PSO_TU_Allocators,2,FALSE)</f>
        <v>0.93210214288667259</v>
      </c>
      <c r="K130" s="131"/>
      <c r="L130" s="154">
        <f>+J130*G130</f>
        <v>7790489.2039996656</v>
      </c>
      <c r="M130" s="108"/>
      <c r="N130" s="209">
        <v>8260479.8012482794</v>
      </c>
      <c r="O130" s="269"/>
      <c r="P130" s="209">
        <f t="shared" si="10"/>
        <v>469990.59724861383</v>
      </c>
    </row>
    <row r="131" spans="1:16">
      <c r="A131" s="108"/>
      <c r="B131" s="134"/>
      <c r="C131" s="133"/>
      <c r="D131" s="119"/>
      <c r="E131" s="131"/>
      <c r="F131" s="131"/>
      <c r="G131" s="318"/>
      <c r="H131" s="154"/>
      <c r="I131" s="108"/>
      <c r="J131" s="108"/>
      <c r="K131" s="108"/>
      <c r="L131" s="108"/>
      <c r="M131" s="108"/>
      <c r="N131" s="317"/>
      <c r="O131" s="269"/>
      <c r="P131" s="317" t="str">
        <f t="shared" si="10"/>
        <v/>
      </c>
    </row>
    <row r="132" spans="1:16">
      <c r="A132" s="108"/>
      <c r="B132" s="134">
        <f>+B130+1</f>
        <v>69</v>
      </c>
      <c r="C132" s="133"/>
      <c r="D132" s="135" t="s">
        <v>448</v>
      </c>
      <c r="E132" s="139" t="s">
        <v>447</v>
      </c>
      <c r="F132" s="139"/>
      <c r="G132" s="154">
        <f>+'[6]OKT Historic TCOS'!G142</f>
        <v>2634355</v>
      </c>
      <c r="H132" s="154"/>
      <c r="I132" s="287"/>
      <c r="J132" s="287"/>
      <c r="K132" s="139"/>
      <c r="L132" s="210"/>
      <c r="M132" s="108"/>
      <c r="N132" s="209"/>
      <c r="O132" s="269"/>
      <c r="P132" s="209" t="str">
        <f t="shared" si="10"/>
        <v/>
      </c>
    </row>
    <row r="133" spans="1:16">
      <c r="A133" s="108"/>
      <c r="B133" s="134">
        <f t="shared" ref="B133:B141" si="11">+B132+1</f>
        <v>70</v>
      </c>
      <c r="C133" s="133"/>
      <c r="D133" s="119" t="s">
        <v>446</v>
      </c>
      <c r="E133" s="139" t="s">
        <v>445</v>
      </c>
      <c r="F133" s="139"/>
      <c r="G133" s="154">
        <f>+'[6]OKT Historic TCOS'!G143</f>
        <v>84727</v>
      </c>
      <c r="H133" s="154"/>
      <c r="I133" s="287"/>
      <c r="J133" s="135"/>
      <c r="K133" s="139"/>
      <c r="L133" s="210"/>
      <c r="M133" s="108"/>
      <c r="N133" s="209"/>
      <c r="O133" s="269"/>
      <c r="P133" s="209" t="str">
        <f t="shared" si="10"/>
        <v/>
      </c>
    </row>
    <row r="134" spans="1:16">
      <c r="B134" s="134">
        <f t="shared" si="11"/>
        <v>71</v>
      </c>
      <c r="C134" s="133"/>
      <c r="D134" s="135" t="s">
        <v>444</v>
      </c>
      <c r="E134" s="139" t="s">
        <v>443</v>
      </c>
      <c r="F134" s="131"/>
      <c r="G134" s="154">
        <f>+'[6]OKT Historic TCOS'!G144</f>
        <v>48496</v>
      </c>
      <c r="H134" s="154"/>
      <c r="I134" s="287"/>
      <c r="J134" s="316"/>
      <c r="K134" s="139"/>
      <c r="L134" s="210"/>
      <c r="M134" s="108"/>
      <c r="N134" s="209"/>
      <c r="O134" s="269"/>
      <c r="P134" s="209" t="str">
        <f t="shared" si="10"/>
        <v/>
      </c>
    </row>
    <row r="135" spans="1:16">
      <c r="B135" s="134">
        <f t="shared" si="11"/>
        <v>72</v>
      </c>
      <c r="C135" s="133"/>
      <c r="D135" s="119" t="s">
        <v>442</v>
      </c>
      <c r="E135" s="139" t="s">
        <v>441</v>
      </c>
      <c r="F135" s="131"/>
      <c r="G135" s="154">
        <f>+'[6]OKT Historic TCOS'!G145</f>
        <v>1705</v>
      </c>
      <c r="H135" s="154"/>
      <c r="I135" s="287"/>
      <c r="J135" s="287"/>
      <c r="K135" s="139"/>
      <c r="L135" s="210"/>
      <c r="M135" s="108"/>
      <c r="N135" s="209"/>
      <c r="O135" s="269"/>
      <c r="P135" s="209" t="str">
        <f t="shared" si="10"/>
        <v/>
      </c>
    </row>
    <row r="136" spans="1:16" ht="15.75" thickBot="1">
      <c r="B136" s="134">
        <f t="shared" si="11"/>
        <v>73</v>
      </c>
      <c r="C136" s="133"/>
      <c r="D136" s="119" t="s">
        <v>440</v>
      </c>
      <c r="E136" s="139" t="s">
        <v>439</v>
      </c>
      <c r="F136" s="131"/>
      <c r="G136" s="163">
        <f>+'[6]OKT Historic TCOS'!G146</f>
        <v>38217</v>
      </c>
      <c r="H136" s="154"/>
      <c r="I136" s="287"/>
      <c r="J136" s="287"/>
      <c r="K136" s="139"/>
      <c r="L136" s="210"/>
      <c r="M136" s="108"/>
      <c r="N136" s="209"/>
      <c r="O136" s="269"/>
      <c r="P136" s="209" t="str">
        <f t="shared" si="10"/>
        <v/>
      </c>
    </row>
    <row r="137" spans="1:16">
      <c r="B137" s="134">
        <f t="shared" si="11"/>
        <v>74</v>
      </c>
      <c r="C137" s="133"/>
      <c r="D137" s="135" t="s">
        <v>438</v>
      </c>
      <c r="E137" s="131" t="str">
        <f>"(ln "&amp;B132&amp;" - sum ln "&amp;B133&amp;"  to ln "&amp;B136&amp;")"</f>
        <v>(ln 69 - sum ln 70  to ln 73)</v>
      </c>
      <c r="F137" s="131"/>
      <c r="G137" s="154">
        <f>G132-SUM(G133:G136)</f>
        <v>2461210</v>
      </c>
      <c r="H137" s="154"/>
      <c r="I137" s="204" t="s">
        <v>262</v>
      </c>
      <c r="J137" s="214">
        <f t="shared" ref="J137:J142" si="12">VLOOKUP(I137,PSO_TU_Allocators,2,FALSE)</f>
        <v>0.9321021428866727</v>
      </c>
      <c r="K137" s="139"/>
      <c r="L137" s="210">
        <f>+J137*G137</f>
        <v>2294099.1150941076</v>
      </c>
      <c r="M137" s="108"/>
      <c r="N137" s="209">
        <v>2432499.2829163074</v>
      </c>
      <c r="O137" s="269"/>
      <c r="P137" s="209">
        <f t="shared" si="10"/>
        <v>138400.16782219987</v>
      </c>
    </row>
    <row r="138" spans="1:16">
      <c r="B138" s="115">
        <f t="shared" si="11"/>
        <v>75</v>
      </c>
      <c r="C138" s="114"/>
      <c r="D138" s="119" t="s">
        <v>437</v>
      </c>
      <c r="E138" s="131" t="str">
        <f>"(ln "&amp;B133&amp;")"</f>
        <v>(ln 70)</v>
      </c>
      <c r="F138" s="131"/>
      <c r="G138" s="154">
        <f>+G133</f>
        <v>84727</v>
      </c>
      <c r="H138" s="154"/>
      <c r="I138" s="315" t="s">
        <v>268</v>
      </c>
      <c r="J138" s="214">
        <f t="shared" si="12"/>
        <v>0.93210214288667248</v>
      </c>
      <c r="K138" s="131"/>
      <c r="L138" s="154">
        <f>+J138*G138</f>
        <v>78974.218260359106</v>
      </c>
      <c r="M138" s="108"/>
      <c r="N138" s="209">
        <v>83738.635363764188</v>
      </c>
      <c r="O138" s="269"/>
      <c r="P138" s="209">
        <f t="shared" si="10"/>
        <v>4764.4171034050814</v>
      </c>
    </row>
    <row r="139" spans="1:16">
      <c r="B139" s="134">
        <f t="shared" si="11"/>
        <v>76</v>
      </c>
      <c r="C139" s="133"/>
      <c r="D139" s="119" t="s">
        <v>436</v>
      </c>
      <c r="E139" s="131" t="s">
        <v>435</v>
      </c>
      <c r="F139" s="131"/>
      <c r="G139" s="154">
        <f>+'[6]OKT WS J Misc Exp'!F23</f>
        <v>47729.9</v>
      </c>
      <c r="H139" s="154"/>
      <c r="I139" s="204" t="s">
        <v>264</v>
      </c>
      <c r="J139" s="214">
        <f t="shared" si="12"/>
        <v>0.93210214288667259</v>
      </c>
      <c r="K139" s="139"/>
      <c r="L139" s="210">
        <f>J139*G139</f>
        <v>44489.142069766596</v>
      </c>
      <c r="M139" s="108"/>
      <c r="N139" s="209">
        <v>47173.117094302026</v>
      </c>
      <c r="O139" s="269"/>
      <c r="P139" s="209">
        <f t="shared" si="10"/>
        <v>2683.9750245354298</v>
      </c>
    </row>
    <row r="140" spans="1:16">
      <c r="B140" s="134">
        <f t="shared" si="11"/>
        <v>77</v>
      </c>
      <c r="C140" s="133"/>
      <c r="D140" s="119" t="s">
        <v>434</v>
      </c>
      <c r="E140" s="131" t="s">
        <v>433</v>
      </c>
      <c r="F140" s="131"/>
      <c r="G140" s="237">
        <f>'[6]OKT WS J Misc Exp'!F43</f>
        <v>0</v>
      </c>
      <c r="H140" s="131"/>
      <c r="I140" s="175" t="s">
        <v>268</v>
      </c>
      <c r="J140" s="214">
        <f t="shared" si="12"/>
        <v>0.93210214288667248</v>
      </c>
      <c r="K140" s="139"/>
      <c r="L140" s="252">
        <f>+J140*G140</f>
        <v>0</v>
      </c>
      <c r="M140" s="108"/>
      <c r="N140" s="236">
        <v>0</v>
      </c>
      <c r="O140" s="269"/>
      <c r="P140" s="236">
        <f t="shared" si="10"/>
        <v>0</v>
      </c>
    </row>
    <row r="141" spans="1:16">
      <c r="B141" s="134">
        <f t="shared" si="11"/>
        <v>78</v>
      </c>
      <c r="C141" s="133"/>
      <c r="D141" s="119" t="s">
        <v>432</v>
      </c>
      <c r="E141" s="131" t="str">
        <f>"Worksheet J ln "&amp;'[6]OKT WS J Misc Exp'!A52&amp;".(E) (Note L)"</f>
        <v>Worksheet J ln 32.(E) (Note L)</v>
      </c>
      <c r="F141" s="131"/>
      <c r="G141" s="237">
        <f>'[6]OKT WS J Misc Exp'!F52</f>
        <v>0</v>
      </c>
      <c r="H141" s="131"/>
      <c r="I141" s="175" t="s">
        <v>269</v>
      </c>
      <c r="J141" s="214">
        <f t="shared" si="12"/>
        <v>1</v>
      </c>
      <c r="K141" s="139"/>
      <c r="L141" s="210">
        <f>J141*G141</f>
        <v>0</v>
      </c>
      <c r="M141" s="108"/>
      <c r="N141" s="209">
        <v>0</v>
      </c>
      <c r="O141" s="269"/>
      <c r="P141" s="209">
        <f t="shared" si="10"/>
        <v>0</v>
      </c>
    </row>
    <row r="142" spans="1:16" s="105" customFormat="1">
      <c r="B142" s="115" t="s">
        <v>431</v>
      </c>
      <c r="C142" s="114"/>
      <c r="D142" s="314" t="s">
        <v>430</v>
      </c>
      <c r="E142" s="131" t="str">
        <f>"Worksheet O ln "&amp;'[6]OKT WS O  PBOP'!A30&amp;".B"</f>
        <v>Worksheet O ln 16.B</v>
      </c>
      <c r="F142" s="131"/>
      <c r="G142" s="237">
        <f>'[6]OKT WS O  PBOP'!D30</f>
        <v>430983.59644076577</v>
      </c>
      <c r="H142" s="131"/>
      <c r="I142" s="175" t="s">
        <v>269</v>
      </c>
      <c r="J142" s="214">
        <f t="shared" si="12"/>
        <v>1</v>
      </c>
      <c r="K142" s="131"/>
      <c r="L142" s="154">
        <f>G142</f>
        <v>430983.59644076577</v>
      </c>
      <c r="M142" s="304"/>
      <c r="N142" s="209">
        <v>430983.59644076577</v>
      </c>
      <c r="O142" s="269"/>
      <c r="P142" s="209">
        <f t="shared" si="10"/>
        <v>0</v>
      </c>
    </row>
    <row r="143" spans="1:16" s="105" customFormat="1" ht="15.75" thickBot="1">
      <c r="B143" s="115">
        <f>+B141+1</f>
        <v>79</v>
      </c>
      <c r="C143" s="114"/>
      <c r="D143" s="119" t="s">
        <v>429</v>
      </c>
      <c r="E143" s="131" t="str">
        <f>"(sum lns "&amp;B137&amp;"  to "&amp;B141&amp;" less ln "&amp;B142&amp;")"</f>
        <v>(sum lns 74  to 78 less ln 78a)</v>
      </c>
      <c r="F143" s="131"/>
      <c r="G143" s="163">
        <f>SUM(G137:G142)</f>
        <v>3024650.4964407654</v>
      </c>
      <c r="H143" s="154"/>
      <c r="I143" s="175"/>
      <c r="J143" s="313"/>
      <c r="K143" s="131"/>
      <c r="L143" s="163">
        <f>SUM(L137:L142)</f>
        <v>2848546.0718649989</v>
      </c>
      <c r="M143" s="304"/>
      <c r="N143" s="211">
        <v>2994394.6318151392</v>
      </c>
      <c r="O143" s="269"/>
      <c r="P143" s="211">
        <f t="shared" si="10"/>
        <v>145848.5599501403</v>
      </c>
    </row>
    <row r="144" spans="1:16" s="105" customFormat="1">
      <c r="B144" s="115">
        <f>+B143+1</f>
        <v>80</v>
      </c>
      <c r="C144" s="114"/>
      <c r="D144" s="119" t="s">
        <v>428</v>
      </c>
      <c r="E144" s="131" t="str">
        <f>"(ln "&amp;B130&amp;" + ln "&amp;B143&amp;")"</f>
        <v>(ln 68 + ln 79)</v>
      </c>
      <c r="F144" s="131"/>
      <c r="G144" s="237">
        <f>G130+G143</f>
        <v>11382628.496440765</v>
      </c>
      <c r="H144" s="154"/>
      <c r="I144" s="175"/>
      <c r="J144" s="126"/>
      <c r="K144" s="131"/>
      <c r="L144" s="154">
        <f>+L143+L130</f>
        <v>10639035.275864664</v>
      </c>
      <c r="M144" s="304"/>
      <c r="N144" s="209">
        <v>11254874.433063418</v>
      </c>
      <c r="O144" s="269"/>
      <c r="P144" s="209">
        <f t="shared" si="10"/>
        <v>615839.15719875321</v>
      </c>
    </row>
    <row r="145" spans="1:16" s="105" customFormat="1">
      <c r="B145" s="115"/>
      <c r="C145" s="114"/>
      <c r="D145" s="119"/>
      <c r="E145" s="131"/>
      <c r="F145" s="131"/>
      <c r="G145" s="237"/>
      <c r="H145" s="233"/>
      <c r="I145" s="234"/>
      <c r="J145" s="312"/>
      <c r="K145" s="233"/>
      <c r="L145" s="237"/>
      <c r="M145" s="304"/>
      <c r="N145" s="236"/>
      <c r="O145" s="269"/>
      <c r="P145" s="236" t="str">
        <f t="shared" si="10"/>
        <v/>
      </c>
    </row>
    <row r="146" spans="1:16" s="105" customFormat="1">
      <c r="B146" s="115">
        <f>+B144+1</f>
        <v>81</v>
      </c>
      <c r="C146" s="114"/>
      <c r="D146" s="155" t="s">
        <v>427</v>
      </c>
      <c r="E146" s="175"/>
      <c r="F146" s="175"/>
      <c r="G146" s="237"/>
      <c r="H146" s="233"/>
      <c r="I146" s="234"/>
      <c r="J146" s="233"/>
      <c r="K146" s="233"/>
      <c r="L146" s="237"/>
      <c r="M146" s="304"/>
      <c r="N146" s="236"/>
      <c r="O146" s="269"/>
      <c r="P146" s="236" t="str">
        <f t="shared" si="10"/>
        <v/>
      </c>
    </row>
    <row r="147" spans="1:16" s="105" customFormat="1">
      <c r="B147" s="115">
        <f>+B146+1</f>
        <v>82</v>
      </c>
      <c r="C147" s="114"/>
      <c r="D147" s="307" t="str">
        <f>+D126</f>
        <v xml:space="preserve">  Transmission </v>
      </c>
      <c r="E147" s="305" t="s">
        <v>426</v>
      </c>
      <c r="F147" s="306"/>
      <c r="G147" s="309">
        <f>+'[6]OKT Historic TCOS'!G158</f>
        <v>18588776</v>
      </c>
      <c r="H147" s="154"/>
      <c r="I147" s="311" t="s">
        <v>264</v>
      </c>
      <c r="J147" s="214">
        <f>VLOOKUP(I147,PSO_TU_Allocators,2,FALSE)</f>
        <v>0.93210214288667259</v>
      </c>
      <c r="K147" s="310"/>
      <c r="L147" s="309">
        <f>J147*G147</f>
        <v>17326637.943240352</v>
      </c>
      <c r="M147" s="304"/>
      <c r="N147" s="308">
        <v>18371932.622690413</v>
      </c>
      <c r="O147" s="269"/>
      <c r="P147" s="308">
        <f t="shared" si="10"/>
        <v>1045294.6794500612</v>
      </c>
    </row>
    <row r="148" spans="1:16" s="105" customFormat="1">
      <c r="B148" s="115">
        <f>+B147+1</f>
        <v>83</v>
      </c>
      <c r="C148" s="114"/>
      <c r="D148" s="155" t="s">
        <v>425</v>
      </c>
      <c r="E148" s="306" t="s">
        <v>424</v>
      </c>
      <c r="F148" s="131"/>
      <c r="G148" s="154">
        <f>+'[6]OKT Historic TCOS'!G161</f>
        <v>98396</v>
      </c>
      <c r="H148" s="154"/>
      <c r="I148" s="175" t="s">
        <v>262</v>
      </c>
      <c r="J148" s="214">
        <f>VLOOKUP(I148,PSO_TU_Allocators,2,FALSE)</f>
        <v>0.9321021428866727</v>
      </c>
      <c r="K148" s="131"/>
      <c r="L148" s="154">
        <f>+J148*G148</f>
        <v>91715.122451477044</v>
      </c>
      <c r="M148" s="304"/>
      <c r="N148" s="209">
        <v>97248.182577607353</v>
      </c>
      <c r="O148" s="269"/>
      <c r="P148" s="209">
        <f t="shared" si="10"/>
        <v>5533.0601261303091</v>
      </c>
    </row>
    <row r="149" spans="1:16" s="105" customFormat="1">
      <c r="B149" s="115" t="s">
        <v>423</v>
      </c>
      <c r="C149" s="114"/>
      <c r="D149" s="307" t="s">
        <v>422</v>
      </c>
      <c r="E149" s="131" t="str">
        <f>"(Worksheet A ln "&amp;'[6]OKT WS A RB Support '!A90&amp;".E)"</f>
        <v>(Worksheet A ln 37.E)</v>
      </c>
      <c r="F149" s="306"/>
      <c r="G149" s="154">
        <f>+'[6]OKT WS A RB Support '!G88</f>
        <v>0</v>
      </c>
      <c r="H149" s="154"/>
      <c r="I149" s="175" t="s">
        <v>269</v>
      </c>
      <c r="J149" s="214">
        <v>1</v>
      </c>
      <c r="K149" s="131"/>
      <c r="L149" s="154">
        <f>J149*G149</f>
        <v>0</v>
      </c>
      <c r="M149" s="304"/>
      <c r="N149" s="209">
        <v>0</v>
      </c>
      <c r="O149" s="269"/>
      <c r="P149" s="209">
        <f t="shared" si="10"/>
        <v>0</v>
      </c>
    </row>
    <row r="150" spans="1:16" s="105" customFormat="1" ht="15.75" thickBot="1">
      <c r="B150" s="115">
        <f>+B148+1</f>
        <v>84</v>
      </c>
      <c r="C150" s="114"/>
      <c r="D150" s="155" t="s">
        <v>421</v>
      </c>
      <c r="E150" s="306" t="s">
        <v>420</v>
      </c>
      <c r="F150" s="131"/>
      <c r="G150" s="163">
        <f>+'[6]OKT Historic TCOS'!G162</f>
        <v>944660</v>
      </c>
      <c r="H150" s="154"/>
      <c r="I150" s="175" t="s">
        <v>262</v>
      </c>
      <c r="J150" s="214">
        <f>VLOOKUP(I150,PSO_TU_Allocators,2,FALSE)</f>
        <v>0.9321021428866727</v>
      </c>
      <c r="K150" s="131"/>
      <c r="L150" s="163">
        <f>+J150*G150</f>
        <v>880519.61029932427</v>
      </c>
      <c r="M150" s="304"/>
      <c r="N150" s="211">
        <v>933640.27149236319</v>
      </c>
      <c r="O150" s="269"/>
      <c r="P150" s="211">
        <f t="shared" si="10"/>
        <v>53120.661193038919</v>
      </c>
    </row>
    <row r="151" spans="1:16" s="105" customFormat="1">
      <c r="B151" s="115">
        <f>+B150+1</f>
        <v>85</v>
      </c>
      <c r="C151" s="114"/>
      <c r="D151" s="155" t="s">
        <v>419</v>
      </c>
      <c r="E151" s="305" t="str">
        <f>"(sum lns "&amp;B147&amp;" to "&amp;B150&amp;")"</f>
        <v>(sum lns 82 to 84)</v>
      </c>
      <c r="F151" s="131"/>
      <c r="G151" s="154">
        <f>SUM(G147:G150)</f>
        <v>19631832</v>
      </c>
      <c r="H151" s="131"/>
      <c r="I151" s="175"/>
      <c r="J151" s="131"/>
      <c r="K151" s="131"/>
      <c r="L151" s="154">
        <f>SUM(L147:L150)</f>
        <v>18298872.675991151</v>
      </c>
      <c r="M151" s="304"/>
      <c r="N151" s="209">
        <v>19402821.076760381</v>
      </c>
      <c r="O151" s="269"/>
      <c r="P151" s="209">
        <f t="shared" si="10"/>
        <v>1103948.40076923</v>
      </c>
    </row>
    <row r="152" spans="1:16">
      <c r="B152" s="134"/>
      <c r="C152" s="133"/>
      <c r="D152" s="205"/>
      <c r="E152" s="303"/>
      <c r="F152" s="139"/>
      <c r="G152" s="210"/>
      <c r="H152" s="131"/>
      <c r="I152" s="204"/>
      <c r="J152" s="139"/>
      <c r="K152" s="139"/>
      <c r="L152" s="210"/>
      <c r="M152" s="108"/>
      <c r="N152" s="209"/>
      <c r="O152" s="269"/>
      <c r="P152" s="209" t="str">
        <f t="shared" si="10"/>
        <v/>
      </c>
    </row>
    <row r="153" spans="1:16">
      <c r="B153" s="134">
        <f>+B151+1</f>
        <v>86</v>
      </c>
      <c r="C153" s="133"/>
      <c r="D153" s="205" t="s">
        <v>418</v>
      </c>
      <c r="E153" s="120" t="s">
        <v>417</v>
      </c>
      <c r="F153" s="192"/>
      <c r="G153" s="210"/>
      <c r="H153" s="131"/>
      <c r="I153" s="204"/>
      <c r="J153" s="139"/>
      <c r="K153" s="139"/>
      <c r="L153" s="210"/>
      <c r="M153" s="108"/>
      <c r="N153" s="209"/>
      <c r="O153" s="269"/>
      <c r="P153" s="209" t="str">
        <f t="shared" si="10"/>
        <v/>
      </c>
    </row>
    <row r="154" spans="1:16">
      <c r="B154" s="134">
        <f t="shared" ref="B154:B160" si="13">+B153+1</f>
        <v>87</v>
      </c>
      <c r="C154" s="133"/>
      <c r="D154" s="205" t="s">
        <v>416</v>
      </c>
      <c r="E154" s="192"/>
      <c r="F154" s="192"/>
      <c r="G154" s="210"/>
      <c r="H154" s="131"/>
      <c r="I154" s="204"/>
      <c r="J154" s="192"/>
      <c r="K154" s="139"/>
      <c r="L154" s="210"/>
      <c r="M154" s="108"/>
      <c r="N154" s="209"/>
      <c r="O154" s="269"/>
      <c r="P154" s="209" t="str">
        <f t="shared" si="10"/>
        <v/>
      </c>
    </row>
    <row r="155" spans="1:16">
      <c r="B155" s="134">
        <f t="shared" si="13"/>
        <v>88</v>
      </c>
      <c r="C155" s="133"/>
      <c r="D155" s="205" t="s">
        <v>415</v>
      </c>
      <c r="E155" s="131" t="s">
        <v>414</v>
      </c>
      <c r="F155" s="131"/>
      <c r="G155" s="154">
        <f>+'[6]OKT WS L Other Taxes'!I46</f>
        <v>0</v>
      </c>
      <c r="H155" s="154"/>
      <c r="I155" s="204" t="s">
        <v>262</v>
      </c>
      <c r="J155" s="214">
        <f>VLOOKUP(I155,PSO_TU_Allocators,2,FALSE)</f>
        <v>0.9321021428866727</v>
      </c>
      <c r="K155" s="139"/>
      <c r="L155" s="210">
        <f>+J155*G155</f>
        <v>0</v>
      </c>
      <c r="M155" s="108"/>
      <c r="N155" s="209">
        <v>0</v>
      </c>
      <c r="O155" s="269"/>
      <c r="P155" s="209">
        <f t="shared" si="10"/>
        <v>0</v>
      </c>
    </row>
    <row r="156" spans="1:16">
      <c r="B156" s="134">
        <f t="shared" si="13"/>
        <v>89</v>
      </c>
      <c r="C156" s="133"/>
      <c r="D156" s="205" t="s">
        <v>413</v>
      </c>
      <c r="E156" s="131" t="s">
        <v>288</v>
      </c>
      <c r="F156" s="131"/>
      <c r="G156" s="154"/>
      <c r="H156" s="154"/>
      <c r="I156" s="204"/>
      <c r="J156" s="192"/>
      <c r="K156" s="139"/>
      <c r="L156" s="210"/>
      <c r="M156" s="108"/>
      <c r="N156" s="209"/>
      <c r="O156" s="269"/>
      <c r="P156" s="209" t="str">
        <f t="shared" ref="P156:P187" si="14">IF(N156="","",N156-L156)</f>
        <v/>
      </c>
    </row>
    <row r="157" spans="1:16">
      <c r="A157" s="105"/>
      <c r="B157" s="115">
        <f t="shared" si="13"/>
        <v>90</v>
      </c>
      <c r="C157" s="114"/>
      <c r="D157" s="155" t="s">
        <v>412</v>
      </c>
      <c r="E157" s="131" t="s">
        <v>411</v>
      </c>
      <c r="F157" s="131"/>
      <c r="G157" s="154">
        <f>+'[6]OKT WS L Other Taxes'!G46</f>
        <v>6878965.25</v>
      </c>
      <c r="H157" s="154"/>
      <c r="I157" s="175" t="s">
        <v>268</v>
      </c>
      <c r="J157" s="214">
        <f>VLOOKUP(I157,PSO_TU_Allocators,2,FALSE)</f>
        <v>0.93210214288667248</v>
      </c>
      <c r="K157" s="131"/>
      <c r="L157" s="154">
        <f>+G157*J157</f>
        <v>6411898.2503679544</v>
      </c>
      <c r="M157" s="108"/>
      <c r="N157" s="209">
        <v>6798720.1570898881</v>
      </c>
      <c r="O157" s="269"/>
      <c r="P157" s="209">
        <f t="shared" si="14"/>
        <v>386821.90672193374</v>
      </c>
    </row>
    <row r="158" spans="1:16">
      <c r="B158" s="134">
        <f t="shared" si="13"/>
        <v>91</v>
      </c>
      <c r="C158" s="133"/>
      <c r="D158" s="205" t="s">
        <v>410</v>
      </c>
      <c r="E158" s="131" t="s">
        <v>409</v>
      </c>
      <c r="F158" s="131"/>
      <c r="G158" s="154">
        <f>+'[6]OKT WS L Other Taxes'!M46</f>
        <v>0</v>
      </c>
      <c r="H158" s="143"/>
      <c r="I158" s="204" t="s">
        <v>266</v>
      </c>
      <c r="J158" s="214">
        <f>VLOOKUP(I158,PSO_TU_Allocators,2,FALSE)</f>
        <v>0</v>
      </c>
      <c r="K158" s="139"/>
      <c r="L158" s="210">
        <f>+J158*G158</f>
        <v>0</v>
      </c>
      <c r="M158" s="108"/>
      <c r="N158" s="209">
        <v>0</v>
      </c>
      <c r="O158" s="269"/>
      <c r="P158" s="209">
        <f t="shared" si="14"/>
        <v>0</v>
      </c>
    </row>
    <row r="159" spans="1:16" ht="15.75" thickBot="1">
      <c r="B159" s="134">
        <f t="shared" si="13"/>
        <v>92</v>
      </c>
      <c r="C159" s="133"/>
      <c r="D159" s="205" t="s">
        <v>408</v>
      </c>
      <c r="E159" s="131" t="s">
        <v>407</v>
      </c>
      <c r="F159" s="131"/>
      <c r="G159" s="163">
        <f>+'[6]OKT WS L Other Taxes'!K46</f>
        <v>20000.25</v>
      </c>
      <c r="H159" s="143"/>
      <c r="I159" s="204" t="s">
        <v>268</v>
      </c>
      <c r="J159" s="214">
        <f>VLOOKUP(I159,PSO_TU_Allocators,2,FALSE)</f>
        <v>0.93210214288667248</v>
      </c>
      <c r="K159" s="139"/>
      <c r="L159" s="212">
        <f>+J159*G159</f>
        <v>18642.275883269172</v>
      </c>
      <c r="M159" s="108"/>
      <c r="N159" s="211">
        <v>19766.941375643237</v>
      </c>
      <c r="O159" s="269"/>
      <c r="P159" s="211">
        <f t="shared" si="14"/>
        <v>1124.6654923740643</v>
      </c>
    </row>
    <row r="160" spans="1:16">
      <c r="B160" s="134">
        <f t="shared" si="13"/>
        <v>93</v>
      </c>
      <c r="C160" s="133"/>
      <c r="D160" s="205" t="s">
        <v>406</v>
      </c>
      <c r="E160" s="303" t="str">
        <f>"(sum lns "&amp;B155&amp;" to "&amp;B159&amp;")"</f>
        <v>(sum lns 88 to 92)</v>
      </c>
      <c r="F160" s="139"/>
      <c r="G160" s="154">
        <f>SUM(G155:G159)</f>
        <v>6898965.5</v>
      </c>
      <c r="H160" s="131"/>
      <c r="I160" s="204"/>
      <c r="J160" s="270"/>
      <c r="K160" s="139"/>
      <c r="L160" s="210">
        <f>SUM(L155:L159)</f>
        <v>6430540.5262512239</v>
      </c>
      <c r="M160" s="108"/>
      <c r="N160" s="209">
        <v>6818487.0984655311</v>
      </c>
      <c r="O160" s="269"/>
      <c r="P160" s="209">
        <f t="shared" si="14"/>
        <v>387946.57221430726</v>
      </c>
    </row>
    <row r="161" spans="2:16">
      <c r="B161" s="134"/>
      <c r="C161" s="133"/>
      <c r="D161" s="205"/>
      <c r="E161" s="139"/>
      <c r="F161" s="139"/>
      <c r="G161" s="139"/>
      <c r="H161" s="131"/>
      <c r="I161" s="204"/>
      <c r="J161" s="270"/>
      <c r="K161" s="139"/>
      <c r="L161" s="139"/>
      <c r="M161" s="108"/>
      <c r="N161" s="174"/>
      <c r="O161" s="269"/>
      <c r="P161" s="174" t="str">
        <f t="shared" si="14"/>
        <v/>
      </c>
    </row>
    <row r="162" spans="2:16">
      <c r="B162" s="134">
        <f>+B160+1</f>
        <v>94</v>
      </c>
      <c r="C162" s="133"/>
      <c r="D162" s="205" t="s">
        <v>405</v>
      </c>
      <c r="E162" s="131" t="s">
        <v>404</v>
      </c>
      <c r="F162" s="286"/>
      <c r="G162" s="139"/>
      <c r="H162" s="108"/>
      <c r="I162" s="140"/>
      <c r="J162" s="192"/>
      <c r="K162" s="139"/>
      <c r="L162" s="281"/>
      <c r="M162" s="108"/>
      <c r="N162" s="280"/>
      <c r="O162" s="269"/>
      <c r="P162" s="280" t="str">
        <f t="shared" si="14"/>
        <v/>
      </c>
    </row>
    <row r="163" spans="2:16">
      <c r="B163" s="134">
        <f t="shared" ref="B163:B168" si="15">+B162+1</f>
        <v>95</v>
      </c>
      <c r="C163" s="133"/>
      <c r="D163" s="261" t="s">
        <v>403</v>
      </c>
      <c r="E163" s="293"/>
      <c r="F163" s="296"/>
      <c r="G163" s="302">
        <f>IF(F313&gt;0,1-(((1-F314)*(1-F313))/(1-F314*F313*F315)),0)</f>
        <v>0.38678999999999997</v>
      </c>
      <c r="H163" s="301"/>
      <c r="I163" s="295"/>
      <c r="J163" s="301"/>
      <c r="K163" s="293"/>
      <c r="L163" s="281"/>
      <c r="M163" s="108"/>
      <c r="N163" s="280"/>
      <c r="O163" s="269"/>
      <c r="P163" s="280" t="str">
        <f t="shared" si="14"/>
        <v/>
      </c>
    </row>
    <row r="164" spans="2:16">
      <c r="B164" s="134">
        <f t="shared" si="15"/>
        <v>96</v>
      </c>
      <c r="C164" s="133"/>
      <c r="D164" s="276" t="s">
        <v>402</v>
      </c>
      <c r="E164" s="293"/>
      <c r="F164" s="296"/>
      <c r="G164" s="302">
        <f>IF(L244&gt;0,($G163/(1-$G163))*(1-$L225/$L228),0)</f>
        <v>0.46738920897381103</v>
      </c>
      <c r="H164" s="301"/>
      <c r="I164" s="295"/>
      <c r="J164" s="281"/>
      <c r="K164" s="293"/>
      <c r="L164" s="281"/>
      <c r="M164" s="108"/>
      <c r="N164" s="280"/>
      <c r="O164" s="269"/>
      <c r="P164" s="280" t="str">
        <f t="shared" si="14"/>
        <v/>
      </c>
    </row>
    <row r="165" spans="2:16">
      <c r="B165" s="134">
        <f t="shared" si="15"/>
        <v>97</v>
      </c>
      <c r="C165" s="133"/>
      <c r="D165" s="155" t="str">
        <f>"       where WCLTD=(ln "&amp;B225&amp;") and WACC = (ln "&amp;B228&amp;")"</f>
        <v xml:space="preserve">       where WCLTD=(ln 133) and WACC = (ln 136)</v>
      </c>
      <c r="E165" s="300"/>
      <c r="F165" s="299"/>
      <c r="G165" s="139"/>
      <c r="H165" s="108"/>
      <c r="I165" s="295"/>
      <c r="J165" s="294"/>
      <c r="K165" s="293"/>
      <c r="L165" s="277"/>
      <c r="M165" s="108"/>
      <c r="N165" s="298"/>
      <c r="O165" s="269"/>
      <c r="P165" s="298" t="str">
        <f t="shared" si="14"/>
        <v/>
      </c>
    </row>
    <row r="166" spans="2:16">
      <c r="B166" s="134">
        <f t="shared" si="15"/>
        <v>98</v>
      </c>
      <c r="C166" s="133"/>
      <c r="D166" s="205" t="s">
        <v>401</v>
      </c>
      <c r="E166" s="297"/>
      <c r="F166" s="296"/>
      <c r="G166" s="139"/>
      <c r="H166" s="108"/>
      <c r="I166" s="295"/>
      <c r="J166" s="294"/>
      <c r="K166" s="293"/>
      <c r="L166" s="281"/>
      <c r="M166" s="108"/>
      <c r="N166" s="280"/>
      <c r="O166" s="269"/>
      <c r="P166" s="280" t="str">
        <f t="shared" si="14"/>
        <v/>
      </c>
    </row>
    <row r="167" spans="2:16">
      <c r="B167" s="134">
        <f t="shared" si="15"/>
        <v>99</v>
      </c>
      <c r="C167" s="133"/>
      <c r="D167" s="268" t="str">
        <f>"      GRCF=1 / (1 - T)  = (from ln "&amp;B163&amp;")"</f>
        <v xml:space="preserve">      GRCF=1 / (1 - T)  = (from ln 95)</v>
      </c>
      <c r="E167" s="292"/>
      <c r="F167" s="286"/>
      <c r="G167" s="291">
        <f>IF(G163&gt;0,1/(1-G163),0)</f>
        <v>1.6307627077183997</v>
      </c>
      <c r="H167" s="108"/>
      <c r="I167" s="278"/>
      <c r="J167" s="290"/>
      <c r="K167" s="265"/>
      <c r="L167" s="289"/>
      <c r="M167" s="108"/>
      <c r="N167" s="430"/>
      <c r="O167" s="269"/>
      <c r="P167" s="430" t="str">
        <f t="shared" si="14"/>
        <v/>
      </c>
    </row>
    <row r="168" spans="2:16">
      <c r="B168" s="134">
        <f t="shared" si="15"/>
        <v>100</v>
      </c>
      <c r="C168" s="133"/>
      <c r="D168" s="205" t="s">
        <v>400</v>
      </c>
      <c r="E168" s="287" t="s">
        <v>399</v>
      </c>
      <c r="F168" s="286"/>
      <c r="G168" s="154">
        <f>+'[6]OKT Historic TCOS'!G180</f>
        <v>0</v>
      </c>
      <c r="H168" s="108"/>
      <c r="I168" s="278"/>
      <c r="J168" s="285"/>
      <c r="K168" s="265"/>
      <c r="L168" s="284"/>
      <c r="M168" s="108"/>
      <c r="N168" s="263"/>
      <c r="O168" s="269"/>
      <c r="P168" s="263" t="str">
        <f t="shared" si="14"/>
        <v/>
      </c>
    </row>
    <row r="169" spans="2:16">
      <c r="B169" s="134"/>
      <c r="C169" s="133"/>
      <c r="D169" s="205"/>
      <c r="E169" s="283"/>
      <c r="F169" s="282"/>
      <c r="G169" s="210"/>
      <c r="H169" s="108"/>
      <c r="I169" s="278"/>
      <c r="J169" s="277"/>
      <c r="K169" s="265"/>
      <c r="L169" s="281"/>
      <c r="M169" s="108"/>
      <c r="N169" s="280"/>
      <c r="O169" s="269"/>
      <c r="P169" s="280" t="str">
        <f t="shared" si="14"/>
        <v/>
      </c>
    </row>
    <row r="170" spans="2:16">
      <c r="B170" s="134">
        <f>+B168+1</f>
        <v>101</v>
      </c>
      <c r="C170" s="133"/>
      <c r="D170" s="261" t="s">
        <v>398</v>
      </c>
      <c r="E170" s="274" t="str">
        <f>"(ln "&amp;B164&amp;" * ln "&amp;B174&amp;")"</f>
        <v>(ln 96 * ln 104)</v>
      </c>
      <c r="F170" s="279"/>
      <c r="G170" s="210">
        <f>+G164*G174</f>
        <v>20654665.357265484</v>
      </c>
      <c r="H170" s="108"/>
      <c r="I170" s="278"/>
      <c r="J170" s="277"/>
      <c r="K170" s="210"/>
      <c r="L170" s="210">
        <f>+L174*G164</f>
        <v>18800571.055837922</v>
      </c>
      <c r="M170" s="108"/>
      <c r="N170" s="209">
        <v>19890808.600932993</v>
      </c>
      <c r="O170" s="269"/>
      <c r="P170" s="209">
        <f t="shared" si="14"/>
        <v>1090237.5450950712</v>
      </c>
    </row>
    <row r="171" spans="2:16" ht="15.75" thickBot="1">
      <c r="B171" s="134">
        <f>+B170+1</f>
        <v>102</v>
      </c>
      <c r="C171" s="133"/>
      <c r="D171" s="276" t="s">
        <v>397</v>
      </c>
      <c r="E171" s="274" t="str">
        <f>"(ln "&amp;B167&amp;" * ln "&amp;B168&amp;")"</f>
        <v>(ln 99 * ln 100)</v>
      </c>
      <c r="F171" s="274"/>
      <c r="G171" s="212">
        <f>G167*G168</f>
        <v>0</v>
      </c>
      <c r="H171" s="108"/>
      <c r="I171" s="275" t="s">
        <v>265</v>
      </c>
      <c r="J171" s="214">
        <f>VLOOKUP(I171,PSO_TU_Allocators,2,FALSE)</f>
        <v>0.92880955981852253</v>
      </c>
      <c r="K171" s="210"/>
      <c r="L171" s="212">
        <f>+G171*J171</f>
        <v>0</v>
      </c>
      <c r="M171" s="108"/>
      <c r="N171" s="211">
        <v>0</v>
      </c>
      <c r="O171" s="269"/>
      <c r="P171" s="211">
        <f t="shared" si="14"/>
        <v>0</v>
      </c>
    </row>
    <row r="172" spans="2:16">
      <c r="B172" s="134">
        <f>+B171+1</f>
        <v>103</v>
      </c>
      <c r="C172" s="133"/>
      <c r="D172" s="261" t="s">
        <v>396</v>
      </c>
      <c r="E172" s="139" t="str">
        <f>"(sum lns "&amp;B170&amp;" to "&amp;B171&amp;")"</f>
        <v>(sum lns 101 to 102)</v>
      </c>
      <c r="F172" s="274"/>
      <c r="G172" s="272">
        <f>SUM(G170:G171)</f>
        <v>20654665.357265484</v>
      </c>
      <c r="H172" s="108"/>
      <c r="I172" s="255" t="s">
        <v>288</v>
      </c>
      <c r="J172" s="273"/>
      <c r="K172" s="210"/>
      <c r="L172" s="272">
        <f>SUM(L170:L171)</f>
        <v>18800571.055837922</v>
      </c>
      <c r="M172" s="108"/>
      <c r="N172" s="271">
        <v>19890808.600932993</v>
      </c>
      <c r="O172" s="269"/>
      <c r="P172" s="271">
        <f t="shared" si="14"/>
        <v>1090237.5450950712</v>
      </c>
    </row>
    <row r="173" spans="2:16">
      <c r="B173" s="134"/>
      <c r="C173" s="133"/>
      <c r="D173" s="205"/>
      <c r="E173" s="139"/>
      <c r="F173" s="139"/>
      <c r="G173" s="139"/>
      <c r="H173" s="131"/>
      <c r="I173" s="204"/>
      <c r="J173" s="270"/>
      <c r="K173" s="139"/>
      <c r="L173" s="139"/>
      <c r="M173" s="108"/>
      <c r="N173" s="174"/>
      <c r="O173" s="269"/>
      <c r="P173" s="174" t="str">
        <f t="shared" si="14"/>
        <v/>
      </c>
    </row>
    <row r="174" spans="2:16">
      <c r="B174" s="134">
        <f>+B172+1</f>
        <v>104</v>
      </c>
      <c r="C174" s="133"/>
      <c r="D174" s="268" t="s">
        <v>395</v>
      </c>
      <c r="E174" s="268" t="str">
        <f>"(ln "&amp;B111&amp;" * ln "&amp;B228&amp;")"</f>
        <v>(ln 63 * ln 136)</v>
      </c>
      <c r="F174" s="267"/>
      <c r="G174" s="266">
        <f>+$L228*G111</f>
        <v>44191575.159842461</v>
      </c>
      <c r="H174" s="131"/>
      <c r="I174" s="255"/>
      <c r="J174" s="265"/>
      <c r="K174" s="210"/>
      <c r="L174" s="264">
        <f>+L228*L111</f>
        <v>40224657.940041065</v>
      </c>
      <c r="M174" s="108"/>
      <c r="N174" s="262">
        <v>42557269.656706013</v>
      </c>
      <c r="O174" s="263"/>
      <c r="P174" s="262">
        <f t="shared" si="14"/>
        <v>2332611.7166649476</v>
      </c>
    </row>
    <row r="175" spans="2:16">
      <c r="B175" s="134"/>
      <c r="C175" s="133"/>
      <c r="D175" s="261"/>
      <c r="E175" s="192"/>
      <c r="F175" s="192"/>
      <c r="G175" s="210"/>
      <c r="H175" s="210"/>
      <c r="I175" s="255"/>
      <c r="J175" s="255"/>
      <c r="K175" s="210"/>
      <c r="L175" s="210"/>
      <c r="M175" s="108"/>
      <c r="N175" s="209"/>
      <c r="O175" s="151"/>
      <c r="P175" s="209" t="str">
        <f t="shared" si="14"/>
        <v/>
      </c>
    </row>
    <row r="176" spans="2:16">
      <c r="B176" s="134">
        <f>+B174+1</f>
        <v>105</v>
      </c>
      <c r="C176" s="133"/>
      <c r="D176" s="260" t="s">
        <v>394</v>
      </c>
      <c r="E176" s="192"/>
      <c r="F176" s="259"/>
      <c r="G176" s="154">
        <f>'[6]OKT WS E IPP Credits'!C11</f>
        <v>0</v>
      </c>
      <c r="H176" s="154"/>
      <c r="I176" s="258" t="s">
        <v>269</v>
      </c>
      <c r="J176" s="214">
        <f>VLOOKUP(I176,PSO_TU_Allocators,2,FALSE)</f>
        <v>1</v>
      </c>
      <c r="K176" s="257"/>
      <c r="L176" s="210">
        <f>+J176*G176</f>
        <v>0</v>
      </c>
      <c r="M176" s="108"/>
      <c r="N176" s="209">
        <v>0</v>
      </c>
      <c r="O176" s="151"/>
      <c r="P176" s="209">
        <f t="shared" si="14"/>
        <v>0</v>
      </c>
    </row>
    <row r="177" spans="2:16" ht="15.75" thickBot="1">
      <c r="B177" s="134"/>
      <c r="C177" s="133"/>
      <c r="D177" s="205"/>
      <c r="E177" s="192"/>
      <c r="F177" s="192"/>
      <c r="G177" s="212"/>
      <c r="H177" s="256"/>
      <c r="I177" s="255"/>
      <c r="J177" s="255"/>
      <c r="K177" s="210"/>
      <c r="L177" s="212"/>
      <c r="M177" s="108"/>
      <c r="N177" s="211"/>
      <c r="O177" s="151"/>
      <c r="P177" s="211" t="str">
        <f t="shared" si="14"/>
        <v/>
      </c>
    </row>
    <row r="178" spans="2:16" ht="15.75" thickBot="1">
      <c r="B178" s="134">
        <f>+B176+1</f>
        <v>106</v>
      </c>
      <c r="C178" s="133"/>
      <c r="D178" s="135" t="s">
        <v>393</v>
      </c>
      <c r="E178" s="251"/>
      <c r="F178" s="251"/>
      <c r="G178" s="254">
        <f>G144+G151+G160+G172+G174+G176</f>
        <v>102759666.51354872</v>
      </c>
      <c r="H178" s="210"/>
      <c r="I178" s="255"/>
      <c r="J178" s="248"/>
      <c r="K178" s="210"/>
      <c r="L178" s="254">
        <f>L144+L151+L160+L172+L174+L176</f>
        <v>94393677.47398603</v>
      </c>
      <c r="M178" s="108"/>
      <c r="N178" s="253">
        <v>99924260.865928337</v>
      </c>
      <c r="O178" s="151"/>
      <c r="P178" s="253">
        <f t="shared" si="14"/>
        <v>5530583.3919423074</v>
      </c>
    </row>
    <row r="179" spans="2:16" ht="15.75" thickTop="1">
      <c r="B179" s="134">
        <f>+B178+1</f>
        <v>107</v>
      </c>
      <c r="C179" s="133"/>
      <c r="D179" s="119" t="str">
        <f>"    (sum lns "&amp;B144&amp;", "&amp;B151&amp;", "&amp;B160&amp;", "&amp;B172&amp;", "&amp;B174&amp;", "&amp;B176&amp;")"</f>
        <v xml:space="preserve">    (sum lns 80, 85, 93, 103, 104, 105)</v>
      </c>
      <c r="E179" s="251"/>
      <c r="F179" s="251"/>
      <c r="G179" s="252"/>
      <c r="H179" s="210"/>
      <c r="I179" s="210"/>
      <c r="J179" s="248"/>
      <c r="K179" s="210"/>
      <c r="L179" s="252"/>
      <c r="M179" s="108"/>
      <c r="N179" s="236"/>
      <c r="O179" s="151"/>
      <c r="P179" s="236" t="str">
        <f t="shared" si="14"/>
        <v/>
      </c>
    </row>
    <row r="180" spans="2:16">
      <c r="B180" s="134"/>
      <c r="C180" s="133"/>
      <c r="D180" s="135"/>
      <c r="E180" s="251"/>
      <c r="F180" s="251"/>
      <c r="G180" s="252"/>
      <c r="H180" s="210"/>
      <c r="I180" s="210"/>
      <c r="J180" s="248"/>
      <c r="K180" s="210"/>
      <c r="L180" s="252"/>
      <c r="M180" s="108"/>
      <c r="N180" s="236"/>
      <c r="O180" s="151"/>
      <c r="P180" s="236" t="str">
        <f t="shared" si="14"/>
        <v/>
      </c>
    </row>
    <row r="181" spans="2:16">
      <c r="B181" s="134">
        <f>+B179+1</f>
        <v>108</v>
      </c>
      <c r="C181" s="133"/>
      <c r="D181" s="135" t="s">
        <v>392</v>
      </c>
      <c r="F181" s="251"/>
      <c r="G181" s="201">
        <f>+'[6]OKT WS K State Taxes'!Q41</f>
        <v>0</v>
      </c>
      <c r="H181" s="210"/>
      <c r="I181" s="210" t="s">
        <v>269</v>
      </c>
      <c r="J181" s="248"/>
      <c r="K181" s="210"/>
      <c r="L181" s="201">
        <f>+'[6]OKT WS K State Taxes'!S41</f>
        <v>0</v>
      </c>
      <c r="M181" s="108"/>
      <c r="N181" s="428">
        <v>0</v>
      </c>
      <c r="O181" s="151"/>
      <c r="P181" s="428">
        <f t="shared" si="14"/>
        <v>0</v>
      </c>
    </row>
    <row r="182" spans="2:16" ht="15.75">
      <c r="B182" s="134"/>
      <c r="C182" s="108"/>
      <c r="D182" s="108"/>
      <c r="E182" s="108"/>
      <c r="F182" s="108"/>
      <c r="G182" s="108"/>
      <c r="H182" s="108"/>
      <c r="I182" s="249"/>
      <c r="J182" s="250"/>
      <c r="K182" s="249"/>
      <c r="L182" s="120"/>
      <c r="M182" s="108"/>
      <c r="N182" s="242"/>
      <c r="O182" s="151"/>
      <c r="P182" s="242" t="str">
        <f t="shared" si="14"/>
        <v/>
      </c>
    </row>
    <row r="183" spans="2:16" ht="15.75" thickBot="1">
      <c r="B183" s="134">
        <f>+B181+1</f>
        <v>109</v>
      </c>
      <c r="C183" s="133"/>
      <c r="D183" s="192" t="s">
        <v>391</v>
      </c>
      <c r="E183" s="192"/>
      <c r="F183" s="192"/>
      <c r="G183" s="247">
        <f>+G178+G181</f>
        <v>102759666.51354872</v>
      </c>
      <c r="H183" s="192"/>
      <c r="I183" s="192"/>
      <c r="J183" s="248"/>
      <c r="K183" s="192"/>
      <c r="L183" s="247">
        <f>+L178+L181</f>
        <v>94393677.47398603</v>
      </c>
      <c r="M183" s="108"/>
      <c r="N183" s="429">
        <v>99924260.865928337</v>
      </c>
      <c r="O183" s="151"/>
      <c r="P183" s="429">
        <f t="shared" si="14"/>
        <v>5530583.3919423074</v>
      </c>
    </row>
    <row r="184" spans="2:16" ht="15.75" thickTop="1">
      <c r="B184" s="134"/>
      <c r="C184" s="133"/>
      <c r="D184" s="135"/>
      <c r="E184" s="192"/>
      <c r="F184" s="194"/>
      <c r="G184" s="192"/>
      <c r="H184" s="192"/>
      <c r="I184" s="192"/>
      <c r="J184" s="192"/>
      <c r="K184" s="192"/>
      <c r="L184" s="192"/>
      <c r="M184" s="108"/>
      <c r="N184" s="242"/>
      <c r="O184" s="151"/>
      <c r="P184" s="242" t="str">
        <f t="shared" si="14"/>
        <v/>
      </c>
    </row>
    <row r="185" spans="2:16">
      <c r="B185" s="134"/>
      <c r="C185" s="133"/>
      <c r="D185" s="192"/>
      <c r="E185" s="192"/>
      <c r="F185" s="194"/>
      <c r="G185" s="192"/>
      <c r="H185" s="192"/>
      <c r="I185" s="192"/>
      <c r="J185" s="192"/>
      <c r="K185" s="192"/>
      <c r="L185" s="192"/>
      <c r="M185" s="108"/>
      <c r="N185" s="242"/>
      <c r="O185" s="151"/>
      <c r="P185" s="242" t="str">
        <f t="shared" si="14"/>
        <v/>
      </c>
    </row>
    <row r="186" spans="2:16">
      <c r="B186" s="134"/>
      <c r="C186" s="133"/>
      <c r="D186" s="135"/>
      <c r="E186" s="192"/>
      <c r="F186" s="140" t="str">
        <f>F114</f>
        <v xml:space="preserve">AEP West SPP Member Companies </v>
      </c>
      <c r="G186" s="192"/>
      <c r="H186" s="192"/>
      <c r="I186" s="192"/>
      <c r="J186" s="192"/>
      <c r="K186" s="192"/>
      <c r="L186" s="192"/>
      <c r="M186" s="108"/>
      <c r="N186" s="242"/>
      <c r="O186" s="151"/>
      <c r="P186" s="242" t="str">
        <f t="shared" si="14"/>
        <v/>
      </c>
    </row>
    <row r="187" spans="2:16">
      <c r="B187" s="134"/>
      <c r="C187" s="133"/>
      <c r="D187" s="135"/>
      <c r="E187" s="192"/>
      <c r="F187" s="140" t="str">
        <f>F115</f>
        <v>Transmission Cost of Service Formula Rate</v>
      </c>
      <c r="G187" s="192"/>
      <c r="H187" s="192"/>
      <c r="I187" s="192"/>
      <c r="J187" s="192"/>
      <c r="K187" s="192"/>
      <c r="L187" s="192"/>
      <c r="M187" s="108"/>
      <c r="N187" s="242"/>
      <c r="O187" s="151"/>
      <c r="P187" s="242" t="str">
        <f t="shared" si="14"/>
        <v/>
      </c>
    </row>
    <row r="188" spans="2:16">
      <c r="B188" s="192"/>
      <c r="C188" s="133"/>
      <c r="D188" s="192"/>
      <c r="E188" s="192"/>
      <c r="F188" s="140" t="str">
        <f>F116</f>
        <v>Utilizing Actual Cost Data for 2017 with Average Ratebase Balances</v>
      </c>
      <c r="G188" s="192"/>
      <c r="H188" s="192"/>
      <c r="I188" s="192"/>
      <c r="J188" s="192"/>
      <c r="K188" s="192"/>
      <c r="M188" s="108"/>
      <c r="N188" s="151"/>
      <c r="O188" s="151"/>
      <c r="P188" s="151" t="str">
        <f t="shared" ref="P188:P213" si="16">IF(N188="","",N188-L188)</f>
        <v/>
      </c>
    </row>
    <row r="189" spans="2:16">
      <c r="B189" s="134"/>
      <c r="C189" s="133"/>
      <c r="E189" s="140"/>
      <c r="F189" s="140"/>
      <c r="G189" s="140"/>
      <c r="H189" s="140"/>
      <c r="I189" s="140"/>
      <c r="J189" s="140"/>
      <c r="K189" s="140"/>
      <c r="M189" s="108"/>
      <c r="N189" s="151"/>
      <c r="O189" s="151"/>
      <c r="P189" s="151" t="str">
        <f t="shared" si="16"/>
        <v/>
      </c>
    </row>
    <row r="190" spans="2:16">
      <c r="B190" s="134"/>
      <c r="C190" s="133"/>
      <c r="D190" s="192"/>
      <c r="E190" s="135"/>
      <c r="F190" s="140" t="str">
        <f>F118</f>
        <v>AEP OKLAHOMA TRANSMISSION COMPANY, INC</v>
      </c>
      <c r="G190" s="135"/>
      <c r="H190" s="135"/>
      <c r="I190" s="135"/>
      <c r="J190" s="135"/>
      <c r="K190" s="135"/>
      <c r="L190" s="135"/>
      <c r="M190" s="108"/>
      <c r="N190" s="245"/>
      <c r="O190" s="151"/>
      <c r="P190" s="245" t="str">
        <f t="shared" si="16"/>
        <v/>
      </c>
    </row>
    <row r="191" spans="2:16">
      <c r="B191" s="134"/>
      <c r="C191" s="133"/>
      <c r="D191" s="192"/>
      <c r="E191" s="135"/>
      <c r="F191" s="140"/>
      <c r="G191" s="210"/>
      <c r="H191" s="135"/>
      <c r="I191" s="135"/>
      <c r="J191" s="135"/>
      <c r="K191" s="135"/>
      <c r="L191" s="210"/>
      <c r="M191" s="108"/>
      <c r="N191" s="209"/>
      <c r="O191" s="151"/>
      <c r="P191" s="209" t="str">
        <f t="shared" si="16"/>
        <v/>
      </c>
    </row>
    <row r="192" spans="2:16" ht="15.75">
      <c r="B192" s="134"/>
      <c r="C192" s="133"/>
      <c r="D192" s="192"/>
      <c r="F192" s="141" t="s">
        <v>390</v>
      </c>
      <c r="G192" s="192"/>
      <c r="H192" s="138"/>
      <c r="I192" s="138"/>
      <c r="J192" s="138"/>
      <c r="K192" s="138"/>
      <c r="L192" s="138"/>
      <c r="M192" s="108"/>
      <c r="N192" s="221"/>
      <c r="O192" s="151"/>
      <c r="P192" s="221" t="str">
        <f t="shared" si="16"/>
        <v/>
      </c>
    </row>
    <row r="193" spans="2:16" ht="15.75">
      <c r="B193" s="134"/>
      <c r="C193" s="133"/>
      <c r="D193" s="244"/>
      <c r="E193" s="138"/>
      <c r="F193" s="138"/>
      <c r="G193" s="138"/>
      <c r="H193" s="138"/>
      <c r="I193" s="138"/>
      <c r="J193" s="138"/>
      <c r="K193" s="138"/>
      <c r="L193" s="138"/>
      <c r="M193" s="108"/>
      <c r="N193" s="221"/>
      <c r="O193" s="151"/>
      <c r="P193" s="221" t="str">
        <f t="shared" si="16"/>
        <v/>
      </c>
    </row>
    <row r="194" spans="2:16" ht="15.75">
      <c r="B194" s="134" t="s">
        <v>389</v>
      </c>
      <c r="C194" s="133"/>
      <c r="D194" s="244"/>
      <c r="E194" s="138"/>
      <c r="F194" s="138"/>
      <c r="G194" s="138"/>
      <c r="H194" s="138"/>
      <c r="I194" s="138"/>
      <c r="J194" s="138"/>
      <c r="K194" s="138"/>
      <c r="L194" s="138"/>
      <c r="M194" s="108"/>
      <c r="N194" s="221"/>
      <c r="O194" s="151"/>
      <c r="P194" s="221" t="str">
        <f t="shared" si="16"/>
        <v/>
      </c>
    </row>
    <row r="195" spans="2:16" ht="15.75" thickBot="1">
      <c r="B195" s="243" t="s">
        <v>388</v>
      </c>
      <c r="C195" s="132"/>
      <c r="D195" s="119" t="s">
        <v>387</v>
      </c>
      <c r="E195" s="125"/>
      <c r="F195" s="125"/>
      <c r="G195" s="125"/>
      <c r="H195" s="125"/>
      <c r="I195" s="125"/>
      <c r="J195" s="125"/>
      <c r="K195" s="120"/>
      <c r="L195" s="192"/>
      <c r="M195" s="108"/>
      <c r="N195" s="242"/>
      <c r="O195" s="151"/>
      <c r="P195" s="242" t="str">
        <f t="shared" si="16"/>
        <v/>
      </c>
    </row>
    <row r="196" spans="2:16">
      <c r="B196" s="134">
        <f>+B183+1</f>
        <v>110</v>
      </c>
      <c r="C196" s="133"/>
      <c r="D196" s="125" t="s">
        <v>386</v>
      </c>
      <c r="E196" s="241" t="str">
        <f>"(ln "&amp;B56&amp;")"</f>
        <v>(ln 18)</v>
      </c>
      <c r="F196" s="235"/>
      <c r="H196" s="233"/>
      <c r="I196" s="233"/>
      <c r="J196" s="233"/>
      <c r="K196" s="233"/>
      <c r="L196" s="237">
        <f>+G56</f>
        <v>740877397</v>
      </c>
      <c r="M196" s="108"/>
      <c r="N196" s="236">
        <v>740877397</v>
      </c>
      <c r="O196" s="151"/>
      <c r="P196" s="236">
        <f t="shared" si="16"/>
        <v>0</v>
      </c>
    </row>
    <row r="197" spans="2:16">
      <c r="B197" s="134">
        <f>+B196+1</f>
        <v>111</v>
      </c>
      <c r="C197" s="133"/>
      <c r="D197" s="125" t="s">
        <v>385</v>
      </c>
      <c r="E197" s="232"/>
      <c r="F197" s="232"/>
      <c r="G197" s="240"/>
      <c r="H197" s="232"/>
      <c r="I197" s="232"/>
      <c r="J197" s="232"/>
      <c r="K197" s="232"/>
      <c r="L197" s="239">
        <v>50303987.639999986</v>
      </c>
      <c r="M197" s="108"/>
      <c r="N197" s="425">
        <v>8642546.2837260012</v>
      </c>
      <c r="O197" s="151"/>
      <c r="P197" s="425">
        <f t="shared" si="16"/>
        <v>-41661441.356273986</v>
      </c>
    </row>
    <row r="198" spans="2:16" ht="15.75" thickBot="1">
      <c r="B198" s="134">
        <f>+B197+1</f>
        <v>112</v>
      </c>
      <c r="C198" s="133"/>
      <c r="D198" s="235" t="str">
        <f>"  Less transmission plant included in OATT Ancillary Services (Worksheet A, ln "&amp;'[6]OKT WS A RB Support '!A62&amp;", Col. "&amp;'[6]OKT WS A RB Support '!E6&amp;")  (Note R)"</f>
        <v xml:space="preserve">  Less transmission plant included in OATT Ancillary Services (Worksheet A, ln 23, Col. (C))  (Note R)</v>
      </c>
      <c r="E198" s="235"/>
      <c r="F198" s="235"/>
      <c r="G198" s="234"/>
      <c r="H198" s="233"/>
      <c r="I198" s="233"/>
      <c r="J198" s="234"/>
      <c r="K198" s="233"/>
      <c r="L198" s="199">
        <f>+'[6]OKT WS A RB Support '!G62</f>
        <v>0</v>
      </c>
      <c r="M198" s="108"/>
      <c r="N198" s="427">
        <v>0</v>
      </c>
      <c r="O198" s="151"/>
      <c r="P198" s="427">
        <f t="shared" si="16"/>
        <v>0</v>
      </c>
    </row>
    <row r="199" spans="2:16">
      <c r="B199" s="134">
        <f>+B198+1</f>
        <v>113</v>
      </c>
      <c r="C199" s="133"/>
      <c r="D199" s="125" t="s">
        <v>384</v>
      </c>
      <c r="E199" s="238" t="str">
        <f>"(ln "&amp;B196&amp;" - ln "&amp;B197&amp;" - ln "&amp;B198&amp;")"</f>
        <v>(ln 110 - ln 111 - ln 112)</v>
      </c>
      <c r="F199" s="235"/>
      <c r="H199" s="233"/>
      <c r="I199" s="233"/>
      <c r="J199" s="234"/>
      <c r="K199" s="233"/>
      <c r="L199" s="237">
        <f>L196-L197-L198</f>
        <v>690573409.36000001</v>
      </c>
      <c r="M199" s="108"/>
      <c r="N199" s="236">
        <v>732234850.71627402</v>
      </c>
      <c r="O199" s="151"/>
      <c r="P199" s="236">
        <f t="shared" si="16"/>
        <v>41661441.356274009</v>
      </c>
    </row>
    <row r="200" spans="2:16">
      <c r="B200" s="134"/>
      <c r="C200" s="133"/>
      <c r="D200" s="120"/>
      <c r="E200" s="235"/>
      <c r="F200" s="235"/>
      <c r="G200" s="234"/>
      <c r="H200" s="233"/>
      <c r="I200" s="233"/>
      <c r="J200" s="234"/>
      <c r="K200" s="233"/>
      <c r="L200" s="232"/>
      <c r="M200" s="108"/>
      <c r="N200" s="231"/>
      <c r="O200" s="151"/>
      <c r="P200" s="231" t="str">
        <f t="shared" si="16"/>
        <v/>
      </c>
    </row>
    <row r="201" spans="2:16" ht="15.75">
      <c r="B201" s="134">
        <f>+B199+1</f>
        <v>114</v>
      </c>
      <c r="C201" s="133"/>
      <c r="D201" s="125" t="s">
        <v>383</v>
      </c>
      <c r="E201" s="230" t="str">
        <f>"(ln "&amp;B199&amp;" / ln "&amp;B196&amp;")"</f>
        <v>(ln 113 / ln 110)</v>
      </c>
      <c r="F201" s="229"/>
      <c r="H201" s="228"/>
      <c r="I201" s="227"/>
      <c r="J201" s="227"/>
      <c r="K201" s="226" t="s">
        <v>382</v>
      </c>
      <c r="L201" s="225">
        <f>IF(L196&gt;0,L199/L196,0)</f>
        <v>0.93210214288667259</v>
      </c>
      <c r="M201" s="108"/>
      <c r="N201" s="224">
        <v>0.9883347145982293</v>
      </c>
      <c r="O201" s="151"/>
      <c r="P201" s="224">
        <f t="shared" si="16"/>
        <v>5.6232571711556711E-2</v>
      </c>
    </row>
    <row r="202" spans="2:16" ht="15.75">
      <c r="B202" s="134"/>
      <c r="C202" s="133"/>
      <c r="D202" s="223"/>
      <c r="E202" s="125"/>
      <c r="F202" s="125"/>
      <c r="G202" s="222"/>
      <c r="H202" s="125"/>
      <c r="I202" s="114"/>
      <c r="J202" s="125"/>
      <c r="K202" s="125"/>
      <c r="L202" s="138"/>
      <c r="M202" s="108"/>
      <c r="N202" s="221"/>
      <c r="O202" s="151"/>
      <c r="P202" s="221" t="str">
        <f t="shared" si="16"/>
        <v/>
      </c>
    </row>
    <row r="203" spans="2:16" ht="45">
      <c r="B203" s="115">
        <f>B201+1</f>
        <v>115</v>
      </c>
      <c r="C203" s="114"/>
      <c r="D203" s="119" t="s">
        <v>381</v>
      </c>
      <c r="E203" s="175" t="s">
        <v>343</v>
      </c>
      <c r="F203" s="175" t="s">
        <v>380</v>
      </c>
      <c r="G203" s="220" t="s">
        <v>379</v>
      </c>
      <c r="H203" s="219" t="s">
        <v>372</v>
      </c>
      <c r="I203" s="204"/>
      <c r="J203" s="139"/>
      <c r="K203" s="139"/>
      <c r="L203" s="139"/>
      <c r="M203" s="108"/>
      <c r="N203" s="174"/>
      <c r="O203" s="151"/>
      <c r="P203" s="174" t="str">
        <f t="shared" si="16"/>
        <v/>
      </c>
    </row>
    <row r="204" spans="2:16">
      <c r="B204" s="115">
        <f t="shared" ref="B204:B209" si="17">+B203+1</f>
        <v>116</v>
      </c>
      <c r="C204" s="114"/>
      <c r="D204" s="217" t="s">
        <v>374</v>
      </c>
      <c r="E204" s="131"/>
      <c r="F204" s="131"/>
      <c r="G204" s="154"/>
      <c r="H204" s="154"/>
      <c r="I204" s="175"/>
      <c r="J204" s="214"/>
      <c r="K204" s="131"/>
      <c r="L204" s="154"/>
      <c r="M204" s="108"/>
      <c r="N204" s="209"/>
      <c r="O204" s="151"/>
      <c r="P204" s="209" t="str">
        <f t="shared" si="16"/>
        <v/>
      </c>
    </row>
    <row r="205" spans="2:16">
      <c r="B205" s="115">
        <f t="shared" si="17"/>
        <v>117</v>
      </c>
      <c r="C205" s="114"/>
      <c r="D205" s="155" t="s">
        <v>378</v>
      </c>
      <c r="E205" s="131" t="s">
        <v>377</v>
      </c>
      <c r="F205" s="131">
        <f>+'[6]OKT Historic TCOS'!F217</f>
        <v>0</v>
      </c>
      <c r="G205" s="131">
        <f>+'[6]OKT Historic TCOS'!G217+48</f>
        <v>2367918</v>
      </c>
      <c r="H205" s="218">
        <f>+F205+G205</f>
        <v>2367918</v>
      </c>
      <c r="I205" s="114" t="s">
        <v>264</v>
      </c>
      <c r="J205" s="214">
        <f>VLOOKUP(I205,PSO_TU_Allocators,2,FALSE)</f>
        <v>0.93210214288667259</v>
      </c>
      <c r="K205" s="213"/>
      <c r="L205" s="210">
        <f>(F205+G205)*J205</f>
        <v>2207141.4419799242</v>
      </c>
      <c r="M205" s="108"/>
      <c r="N205" s="209">
        <v>2340295.5607220097</v>
      </c>
      <c r="O205" s="151"/>
      <c r="P205" s="209">
        <f t="shared" si="16"/>
        <v>133154.11874208553</v>
      </c>
    </row>
    <row r="206" spans="2:16">
      <c r="B206" s="115">
        <f t="shared" si="17"/>
        <v>118</v>
      </c>
      <c r="C206" s="114"/>
      <c r="D206" s="155" t="s">
        <v>376</v>
      </c>
      <c r="E206" s="131" t="s">
        <v>375</v>
      </c>
      <c r="F206" s="131">
        <f>+'[6]OKT Historic TCOS'!F218</f>
        <v>0</v>
      </c>
      <c r="G206" s="131">
        <f>+'[6]OKT Historic TCOS'!G218</f>
        <v>0</v>
      </c>
      <c r="H206" s="218">
        <f>+F206+G206</f>
        <v>0</v>
      </c>
      <c r="I206" s="204" t="s">
        <v>266</v>
      </c>
      <c r="J206" s="214">
        <f>VLOOKUP(I206,PSO_TU_Allocators,2,FALSE)</f>
        <v>0</v>
      </c>
      <c r="K206" s="213"/>
      <c r="L206" s="210">
        <f>(F206+G206)*J206</f>
        <v>0</v>
      </c>
      <c r="M206" s="108"/>
      <c r="N206" s="209">
        <v>0</v>
      </c>
      <c r="O206" s="151"/>
      <c r="P206" s="209">
        <f t="shared" si="16"/>
        <v>0</v>
      </c>
    </row>
    <row r="207" spans="2:16">
      <c r="B207" s="115">
        <f t="shared" si="17"/>
        <v>119</v>
      </c>
      <c r="C207" s="114"/>
      <c r="D207" s="217" t="s">
        <v>374</v>
      </c>
      <c r="E207" s="131"/>
      <c r="F207" s="131"/>
      <c r="G207" s="154"/>
      <c r="H207" s="154"/>
      <c r="I207" s="175"/>
      <c r="J207" s="214"/>
      <c r="K207" s="131"/>
      <c r="L207" s="154"/>
      <c r="M207" s="108"/>
      <c r="N207" s="209"/>
      <c r="O207" s="151"/>
      <c r="P207" s="209" t="str">
        <f t="shared" si="16"/>
        <v/>
      </c>
    </row>
    <row r="208" spans="2:16" ht="15.75" thickBot="1">
      <c r="B208" s="115">
        <f t="shared" si="17"/>
        <v>120</v>
      </c>
      <c r="C208" s="114"/>
      <c r="D208" s="155" t="s">
        <v>373</v>
      </c>
      <c r="E208" s="139">
        <v>0</v>
      </c>
      <c r="F208" s="216">
        <f>+'[6]OKT Historic TCOS'!F220</f>
        <v>0</v>
      </c>
      <c r="G208" s="216">
        <v>0</v>
      </c>
      <c r="H208" s="215">
        <f>+F208+G208</f>
        <v>0</v>
      </c>
      <c r="I208" s="204" t="s">
        <v>266</v>
      </c>
      <c r="J208" s="214">
        <f>VLOOKUP(I208,PSO_TU_Allocators,2,FALSE)</f>
        <v>0</v>
      </c>
      <c r="K208" s="213"/>
      <c r="L208" s="212">
        <f>(F208+G208)*J208</f>
        <v>0</v>
      </c>
      <c r="M208" s="108"/>
      <c r="N208" s="211">
        <v>0</v>
      </c>
      <c r="O208" s="151"/>
      <c r="P208" s="211">
        <f t="shared" si="16"/>
        <v>0</v>
      </c>
    </row>
    <row r="209" spans="2:16">
      <c r="B209" s="115">
        <f t="shared" si="17"/>
        <v>121</v>
      </c>
      <c r="C209" s="114"/>
      <c r="D209" s="155" t="s">
        <v>372</v>
      </c>
      <c r="E209" s="155" t="str">
        <f>"(sum lns "&amp;B204&amp;" to "&amp;B208&amp;")"</f>
        <v>(sum lns 116 to 120)</v>
      </c>
      <c r="F209" s="131">
        <f>SUM(F204:F208)</f>
        <v>0</v>
      </c>
      <c r="G209" s="131">
        <f>SUM(G204:G208)</f>
        <v>2367918</v>
      </c>
      <c r="H209" s="131">
        <f>SUM(H204:H208)</f>
        <v>2367918</v>
      </c>
      <c r="I209" s="204"/>
      <c r="J209" s="139"/>
      <c r="K209" s="139"/>
      <c r="L209" s="210">
        <f>SUM(L204:L208)</f>
        <v>2207141.4419799242</v>
      </c>
      <c r="M209" s="108"/>
      <c r="N209" s="209">
        <v>2340295.5607220097</v>
      </c>
      <c r="O209" s="151"/>
      <c r="P209" s="209">
        <f t="shared" si="16"/>
        <v>133154.11874208553</v>
      </c>
    </row>
    <row r="210" spans="2:16">
      <c r="B210" s="115"/>
      <c r="C210" s="114"/>
      <c r="D210" s="155" t="s">
        <v>288</v>
      </c>
      <c r="E210" s="131" t="s">
        <v>288</v>
      </c>
      <c r="F210" s="131"/>
      <c r="G210" s="120"/>
      <c r="H210" s="131"/>
      <c r="I210" s="128"/>
      <c r="M210" s="108"/>
      <c r="N210" s="151"/>
      <c r="O210" s="151"/>
      <c r="P210" s="151" t="str">
        <f t="shared" si="16"/>
        <v/>
      </c>
    </row>
    <row r="211" spans="2:16" ht="15.75">
      <c r="B211" s="134">
        <f>B209+1</f>
        <v>122</v>
      </c>
      <c r="C211" s="133"/>
      <c r="D211" s="205" t="s">
        <v>371</v>
      </c>
      <c r="E211" s="131"/>
      <c r="F211" s="131"/>
      <c r="G211" s="131"/>
      <c r="H211" s="131"/>
      <c r="I211" s="128"/>
      <c r="K211" s="208" t="s">
        <v>370</v>
      </c>
      <c r="L211" s="207">
        <f>IF(H209&lt;&gt;0,L209/(F209+G209),0)</f>
        <v>0.9321021428866727</v>
      </c>
      <c r="M211" s="108"/>
      <c r="N211" s="206">
        <v>0.98833471459822919</v>
      </c>
      <c r="O211" s="151"/>
      <c r="P211" s="206">
        <f t="shared" si="16"/>
        <v>5.6232571711556489E-2</v>
      </c>
    </row>
    <row r="212" spans="2:16">
      <c r="B212" s="134"/>
      <c r="C212" s="133"/>
      <c r="D212" s="205"/>
      <c r="E212" s="131"/>
      <c r="F212" s="131"/>
      <c r="G212" s="131"/>
      <c r="H212" s="131"/>
      <c r="I212" s="204"/>
      <c r="J212" s="139"/>
      <c r="K212" s="139"/>
      <c r="L212" s="139"/>
      <c r="M212" s="108"/>
      <c r="N212" s="174"/>
      <c r="O212" s="151"/>
      <c r="P212" s="174" t="str">
        <f t="shared" si="16"/>
        <v/>
      </c>
    </row>
    <row r="213" spans="2:16" ht="15.75">
      <c r="B213" s="134"/>
      <c r="C213" s="133"/>
      <c r="D213" s="195" t="s">
        <v>369</v>
      </c>
      <c r="E213" s="131"/>
      <c r="F213" s="131"/>
      <c r="G213" s="131"/>
      <c r="H213" s="131"/>
      <c r="I213" s="204"/>
      <c r="J213" s="139"/>
      <c r="K213" s="139"/>
      <c r="L213" s="139"/>
      <c r="M213" s="108"/>
      <c r="N213" s="174"/>
      <c r="O213" s="151"/>
      <c r="P213" s="174" t="str">
        <f t="shared" si="16"/>
        <v/>
      </c>
    </row>
    <row r="214" spans="2:16" ht="15.75" thickBot="1">
      <c r="B214" s="115">
        <f>+B211+1</f>
        <v>123</v>
      </c>
      <c r="C214" s="114"/>
      <c r="D214" s="155" t="s">
        <v>363</v>
      </c>
      <c r="E214" s="131"/>
      <c r="F214" s="131"/>
      <c r="G214" s="131"/>
      <c r="H214" s="131"/>
      <c r="I214" s="131"/>
      <c r="J214" s="131"/>
      <c r="K214" s="131"/>
      <c r="L214" s="188" t="s">
        <v>362</v>
      </c>
      <c r="M214" s="108"/>
      <c r="N214" s="187" t="s">
        <v>362</v>
      </c>
      <c r="O214" s="151"/>
      <c r="P214" s="187" t="s">
        <v>362</v>
      </c>
    </row>
    <row r="215" spans="2:16">
      <c r="B215" s="115">
        <f t="shared" ref="B215:B222" si="18">+B214+1</f>
        <v>124</v>
      </c>
      <c r="C215" s="114"/>
      <c r="D215" s="131" t="s">
        <v>361</v>
      </c>
      <c r="E215" s="104" t="s">
        <v>368</v>
      </c>
      <c r="F215" s="131"/>
      <c r="G215" s="131"/>
      <c r="H215" s="131"/>
      <c r="I215" s="131"/>
      <c r="J215" s="131"/>
      <c r="K215" s="131"/>
      <c r="L215" s="203">
        <f>+'[6]OKT WS N Avg Cap Structure'!E32</f>
        <v>12649050</v>
      </c>
      <c r="M215" s="108"/>
      <c r="N215" s="202">
        <v>12649050</v>
      </c>
      <c r="O215" s="151"/>
      <c r="P215" s="202">
        <f>IF(N215="","",N215-L215)</f>
        <v>0</v>
      </c>
    </row>
    <row r="216" spans="2:16">
      <c r="B216" s="115">
        <f t="shared" si="18"/>
        <v>125</v>
      </c>
      <c r="C216" s="114"/>
      <c r="D216" s="131" t="s">
        <v>359</v>
      </c>
      <c r="E216" s="104" t="s">
        <v>367</v>
      </c>
      <c r="F216" s="131"/>
      <c r="G216" s="131"/>
      <c r="H216" s="131"/>
      <c r="I216" s="131"/>
      <c r="J216" s="131"/>
      <c r="K216" s="131"/>
      <c r="L216" s="203">
        <f>+'[6]OKT WS N Avg Cap Structure'!E74</f>
        <v>0</v>
      </c>
      <c r="M216" s="108"/>
      <c r="N216" s="202">
        <v>0</v>
      </c>
      <c r="O216" s="151"/>
      <c r="P216" s="202">
        <f>IF(N216="","",N216-L216)</f>
        <v>0</v>
      </c>
    </row>
    <row r="217" spans="2:16" ht="15.75" thickBot="1">
      <c r="B217" s="115">
        <f t="shared" si="18"/>
        <v>126</v>
      </c>
      <c r="C217" s="114"/>
      <c r="D217" s="185" t="s">
        <v>357</v>
      </c>
      <c r="E217" s="131"/>
      <c r="F217" s="131"/>
      <c r="G217" s="131"/>
      <c r="H217" s="108"/>
      <c r="I217" s="108"/>
      <c r="J217" s="108"/>
      <c r="K217" s="131"/>
      <c r="L217" s="184" t="s">
        <v>356</v>
      </c>
      <c r="M217" s="108"/>
      <c r="N217" s="183" t="s">
        <v>356</v>
      </c>
      <c r="O217" s="151"/>
      <c r="P217" s="183" t="s">
        <v>356</v>
      </c>
    </row>
    <row r="218" spans="2:16">
      <c r="B218" s="115">
        <f t="shared" si="18"/>
        <v>127</v>
      </c>
      <c r="C218" s="114"/>
      <c r="D218" s="131" t="s">
        <v>355</v>
      </c>
      <c r="E218" s="104" t="str">
        <f>"(Worksheet N, ln. "&amp;'[6]OKT WS N Avg Cap Structure'!A11&amp;", col. "&amp;'[6]OKT WS N Avg Cap Structure'!E6&amp;")"</f>
        <v>(Worksheet N, ln. 1, col. (E))</v>
      </c>
      <c r="F218" s="131"/>
      <c r="G218" s="125"/>
      <c r="H218" s="108"/>
      <c r="I218" s="108"/>
      <c r="J218" s="108"/>
      <c r="K218" s="131"/>
      <c r="L218" s="201">
        <f>+'[6]OKT WS N Avg Cap Structure'!E11</f>
        <v>328369681</v>
      </c>
      <c r="M218" s="108"/>
      <c r="N218" s="428">
        <v>328369681</v>
      </c>
      <c r="O218" s="151"/>
      <c r="P218" s="428">
        <f t="shared" ref="P218:P223" si="19">IF(N218="","",N218-L218)</f>
        <v>0</v>
      </c>
    </row>
    <row r="219" spans="2:16">
      <c r="B219" s="115">
        <f t="shared" si="18"/>
        <v>128</v>
      </c>
      <c r="C219" s="114"/>
      <c r="D219" s="131" t="str">
        <f>"Less Preferred Stock (ln "&amp;B226&amp;")"</f>
        <v>Less Preferred Stock (ln 134)</v>
      </c>
      <c r="E219" s="104" t="str">
        <f>"(Worksheet N, ln. "&amp;'[6]OKT WS N Avg Cap Structure'!A12&amp;", col. "&amp;'[6]OKT WS N Avg Cap Structure'!E6&amp;")"</f>
        <v>(Worksheet N, ln. 2, col. (E))</v>
      </c>
      <c r="F219" s="131"/>
      <c r="G219" s="131"/>
      <c r="H219" s="108"/>
      <c r="I219" s="108"/>
      <c r="J219" s="108"/>
      <c r="K219" s="131"/>
      <c r="L219" s="201">
        <f>+'[6]OKT WS N Avg Cap Structure'!E12</f>
        <v>0</v>
      </c>
      <c r="M219" s="108"/>
      <c r="N219" s="428">
        <v>0</v>
      </c>
      <c r="O219" s="151"/>
      <c r="P219" s="428">
        <f t="shared" si="19"/>
        <v>0</v>
      </c>
    </row>
    <row r="220" spans="2:16">
      <c r="B220" s="115">
        <f t="shared" si="18"/>
        <v>129</v>
      </c>
      <c r="C220" s="114"/>
      <c r="D220" s="131" t="s">
        <v>352</v>
      </c>
      <c r="E220" s="104" t="str">
        <f>"(Worksheet N, ln. "&amp;'[6]OKT WS N Avg Cap Structure'!A13&amp;", col. "&amp;'[6]OKT WS N Avg Cap Structure'!E6&amp;")"</f>
        <v>(Worksheet N, ln. 3, col. (E))</v>
      </c>
      <c r="F220" s="131"/>
      <c r="G220" s="131"/>
      <c r="H220" s="108"/>
      <c r="I220" s="108"/>
      <c r="J220" s="108"/>
      <c r="K220" s="131"/>
      <c r="L220" s="201">
        <f>+'[6]OKT WS N Avg Cap Structure'!E13</f>
        <v>0</v>
      </c>
      <c r="M220" s="108"/>
      <c r="N220" s="428">
        <v>0</v>
      </c>
      <c r="O220" s="151"/>
      <c r="P220" s="428">
        <f t="shared" si="19"/>
        <v>0</v>
      </c>
    </row>
    <row r="221" spans="2:16" ht="15.75" thickBot="1">
      <c r="B221" s="115">
        <f t="shared" si="18"/>
        <v>130</v>
      </c>
      <c r="C221" s="114"/>
      <c r="D221" s="131" t="s">
        <v>350</v>
      </c>
      <c r="E221" s="104" t="str">
        <f>"(Worksheet N, ln. "&amp;'[6]OKT WS N Avg Cap Structure'!A14&amp;", col. "&amp;'[6]OKT WS N Avg Cap Structure'!E6&amp;")"</f>
        <v>(Worksheet N, ln. 4, col. (E))</v>
      </c>
      <c r="F221" s="131"/>
      <c r="G221" s="131"/>
      <c r="H221" s="108"/>
      <c r="I221" s="108"/>
      <c r="J221" s="108"/>
      <c r="K221" s="131"/>
      <c r="L221" s="199">
        <f>+'[6]OKT WS N Avg Cap Structure'!E14</f>
        <v>0</v>
      </c>
      <c r="M221" s="108"/>
      <c r="N221" s="427">
        <v>0</v>
      </c>
      <c r="O221" s="151"/>
      <c r="P221" s="427">
        <f t="shared" si="19"/>
        <v>0</v>
      </c>
    </row>
    <row r="222" spans="2:16">
      <c r="B222" s="115">
        <f t="shared" si="18"/>
        <v>131</v>
      </c>
      <c r="C222" s="114"/>
      <c r="D222" s="104" t="s">
        <v>348</v>
      </c>
      <c r="E222" s="131" t="str">
        <f>"(ln "&amp;B218&amp;" - ln "&amp;B219&amp;" - ln "&amp;B220&amp;" - ln "&amp;B221&amp;")"</f>
        <v>(ln 127 - ln 128 - ln 129 - ln 130)</v>
      </c>
      <c r="F222" s="178"/>
      <c r="G222" s="105"/>
      <c r="H222" s="125"/>
      <c r="I222" s="125"/>
      <c r="J222" s="125"/>
      <c r="K222" s="125"/>
      <c r="L222" s="177">
        <f>+L218-L219-L220-L221</f>
        <v>328369681</v>
      </c>
      <c r="M222" s="108"/>
      <c r="N222" s="422">
        <v>328369681</v>
      </c>
      <c r="O222" s="151"/>
      <c r="P222" s="422">
        <f t="shared" si="19"/>
        <v>0</v>
      </c>
    </row>
    <row r="223" spans="2:16" ht="15.75">
      <c r="B223" s="115"/>
      <c r="C223" s="114"/>
      <c r="D223" s="155"/>
      <c r="E223" s="131"/>
      <c r="F223" s="131"/>
      <c r="G223" s="475" t="s">
        <v>347</v>
      </c>
      <c r="H223" s="475"/>
      <c r="I223" s="131"/>
      <c r="J223" s="175" t="s">
        <v>346</v>
      </c>
      <c r="K223" s="131"/>
      <c r="L223" s="131"/>
      <c r="M223" s="108"/>
      <c r="N223" s="174"/>
      <c r="O223" s="151"/>
      <c r="P223" s="174" t="str">
        <f t="shared" si="19"/>
        <v/>
      </c>
    </row>
    <row r="224" spans="2:16" ht="15.75" thickBot="1">
      <c r="B224" s="115">
        <f>+B222+1</f>
        <v>132</v>
      </c>
      <c r="C224" s="114"/>
      <c r="D224" s="155"/>
      <c r="E224" s="172" t="str">
        <f>""&amp;'[6]OKT Historic TCOS'!O1&amp;" Avg Balances"</f>
        <v>2017 Avg Balances</v>
      </c>
      <c r="G224" s="172" t="s">
        <v>345</v>
      </c>
      <c r="H224" s="173" t="s">
        <v>344</v>
      </c>
      <c r="I224" s="131"/>
      <c r="J224" s="172" t="s">
        <v>343</v>
      </c>
      <c r="K224" s="131"/>
      <c r="L224" s="172" t="s">
        <v>342</v>
      </c>
      <c r="M224" s="108"/>
      <c r="N224" s="171" t="s">
        <v>342</v>
      </c>
      <c r="O224" s="151"/>
      <c r="P224" s="171" t="s">
        <v>342</v>
      </c>
    </row>
    <row r="225" spans="1:16">
      <c r="B225" s="115">
        <f>+B224+1</f>
        <v>133</v>
      </c>
      <c r="C225" s="114"/>
      <c r="D225" s="131" t="str">
        <f>"Avg Long Term Debt (Worksheet N, ln. "&amp;'[6]OKT WS N Avg Cap Structure'!A23&amp;", col. "&amp;'[6]OKT WS N Avg Cap Structure'!E6&amp;")"</f>
        <v>Avg Long Term Debt (Worksheet N, ln. 10, col. (E))</v>
      </c>
      <c r="E225" s="154">
        <f>+'[6]OKT WS N Avg Cap Structure'!E23</f>
        <v>323100000</v>
      </c>
      <c r="G225" s="162">
        <f>IF($E$228&gt;0,E225/$E$228,0)</f>
        <v>0.49595554393881303</v>
      </c>
      <c r="H225" s="161">
        <f>IF(G227&gt;E230,1-H226-H227,0)</f>
        <v>0.5</v>
      </c>
      <c r="I225" s="160"/>
      <c r="J225" s="166">
        <f>IF(E225&gt;0,L215/E225,0)</f>
        <v>3.9149025069637883E-2</v>
      </c>
      <c r="K225" s="120"/>
      <c r="L225" s="170">
        <f>IF(G$227&gt;E$230,J225*H225,J225*G225)</f>
        <v>1.9574512534818941E-2</v>
      </c>
      <c r="M225" s="108"/>
      <c r="N225" s="169">
        <v>1.9574512534818941E-2</v>
      </c>
      <c r="O225" s="151"/>
      <c r="P225" s="169">
        <f t="shared" ref="P225:P232" si="20">IF(N225="","",N225-L225)</f>
        <v>0</v>
      </c>
    </row>
    <row r="226" spans="1:16">
      <c r="B226" s="115">
        <f>+B225+1</f>
        <v>134</v>
      </c>
      <c r="C226" s="114"/>
      <c r="D226" s="131" t="str">
        <f>"Avg Preferred Stock (Worksheet N, ln. "&amp;'[6]OKT WS N Avg Cap Structure'!A73&amp;", col. "&amp;'[6]OKT WS M Cost of Debt for Proj.'!F6&amp;")"</f>
        <v>Avg Preferred Stock (Worksheet N, ln. 46, col. (E))</v>
      </c>
      <c r="E226" s="154">
        <f>+'[6]OKT WS N Avg Cap Structure'!E70</f>
        <v>0</v>
      </c>
      <c r="G226" s="162">
        <f>IF($E$228&gt;0,E226/$E$228,0)</f>
        <v>0</v>
      </c>
      <c r="H226" s="161">
        <f>IF(G227&gt;E230,G226,0)</f>
        <v>0</v>
      </c>
      <c r="I226" s="160"/>
      <c r="J226" s="166">
        <f>IF(E226&gt;0,L216/E226,0)</f>
        <v>0</v>
      </c>
      <c r="K226" s="120"/>
      <c r="L226" s="165">
        <f>IF(G$227&gt;E$230,J226*H226,J226*G226)</f>
        <v>0</v>
      </c>
      <c r="M226" s="108"/>
      <c r="N226" s="164">
        <v>0</v>
      </c>
      <c r="O226" s="151"/>
      <c r="P226" s="164">
        <f t="shared" si="20"/>
        <v>0</v>
      </c>
    </row>
    <row r="227" spans="1:16" ht="15.75" thickBot="1">
      <c r="B227" s="115">
        <f>+B226+1</f>
        <v>135</v>
      </c>
      <c r="C227" s="114"/>
      <c r="D227" s="155" t="str">
        <f>"Avg Common Stock  (ln "&amp;B222&amp;") (Note U)"</f>
        <v>Avg Common Stock  (ln 131) (Note U)</v>
      </c>
      <c r="E227" s="163">
        <f>+L222</f>
        <v>328369681</v>
      </c>
      <c r="G227" s="162">
        <f>IF($E$228&gt;0,E227/$E$228,0)</f>
        <v>0.50404445606118697</v>
      </c>
      <c r="H227" s="161">
        <f>IF(G227&gt;E230,E230,0)</f>
        <v>0.5</v>
      </c>
      <c r="I227" s="160"/>
      <c r="J227" s="166">
        <f>'[6]OKT Historic TCOS'!J240</f>
        <v>0.112</v>
      </c>
      <c r="K227" s="120"/>
      <c r="L227" s="158">
        <f>IF(G$227&gt;E$230,J227*H227,J227*G227)</f>
        <v>5.6000000000000001E-2</v>
      </c>
      <c r="M227" s="108"/>
      <c r="N227" s="156">
        <v>5.6000000000000001E-2</v>
      </c>
      <c r="O227" s="151"/>
      <c r="P227" s="156">
        <f t="shared" si="20"/>
        <v>0</v>
      </c>
    </row>
    <row r="228" spans="1:16" ht="15.75">
      <c r="B228" s="115">
        <f>+B227+1</f>
        <v>136</v>
      </c>
      <c r="C228" s="114"/>
      <c r="D228" s="155" t="str">
        <f>"  Total  (sum lns "&amp;B225&amp;" to "&amp;B227&amp;")"</f>
        <v xml:space="preserve">  Total  (sum lns 133 to 135)</v>
      </c>
      <c r="E228" s="154">
        <f>E227+E226+E225</f>
        <v>651469681</v>
      </c>
      <c r="G228" s="131" t="s">
        <v>288</v>
      </c>
      <c r="I228" s="131"/>
      <c r="J228" s="143"/>
      <c r="K228" s="153" t="s">
        <v>339</v>
      </c>
      <c r="L228" s="152">
        <f>SUM(L225:L227)</f>
        <v>7.5574512534818949E-2</v>
      </c>
      <c r="M228" s="108"/>
      <c r="N228" s="150">
        <v>7.5574512534818949E-2</v>
      </c>
      <c r="O228" s="151"/>
      <c r="P228" s="150">
        <f t="shared" si="20"/>
        <v>0</v>
      </c>
    </row>
    <row r="229" spans="1:16">
      <c r="B229" s="149"/>
      <c r="C229" s="108"/>
      <c r="D229" s="108"/>
      <c r="E229" s="143"/>
      <c r="F229" s="143"/>
      <c r="G229" s="143"/>
      <c r="H229" s="143"/>
      <c r="I229" s="143"/>
      <c r="J229" s="129"/>
      <c r="K229" s="129"/>
      <c r="L229" s="129"/>
      <c r="M229" s="108"/>
      <c r="N229" s="197"/>
      <c r="O229" s="151"/>
      <c r="P229" s="197" t="str">
        <f t="shared" si="20"/>
        <v/>
      </c>
    </row>
    <row r="230" spans="1:16">
      <c r="B230" s="134">
        <f>+B228+1</f>
        <v>137</v>
      </c>
      <c r="C230" s="108"/>
      <c r="D230" s="130" t="s">
        <v>366</v>
      </c>
      <c r="E230" s="419">
        <f>+'[6]OKT Historic TCOS'!E243</f>
        <v>0.5</v>
      </c>
      <c r="F230" s="143"/>
      <c r="G230" s="146"/>
      <c r="H230" s="143"/>
      <c r="I230" s="143"/>
      <c r="J230" s="131"/>
      <c r="K230" s="125"/>
      <c r="L230" s="131"/>
      <c r="M230" s="108"/>
      <c r="N230" s="174"/>
      <c r="O230" s="151"/>
      <c r="P230" s="174" t="str">
        <f t="shared" si="20"/>
        <v/>
      </c>
    </row>
    <row r="231" spans="1:16" s="105" customFormat="1" ht="15.75">
      <c r="B231" s="115"/>
      <c r="C231" s="114"/>
      <c r="D231" s="155"/>
      <c r="E231" s="194"/>
      <c r="F231" s="131"/>
      <c r="G231" s="120"/>
      <c r="H231" s="131"/>
      <c r="I231" s="131"/>
      <c r="J231" s="131"/>
      <c r="K231" s="196"/>
      <c r="L231" s="190"/>
      <c r="M231" s="143"/>
      <c r="N231" s="189"/>
      <c r="O231" s="151"/>
      <c r="P231" s="189" t="str">
        <f t="shared" si="20"/>
        <v/>
      </c>
    </row>
    <row r="232" spans="1:16" ht="15.75">
      <c r="A232" s="105"/>
      <c r="B232" s="134"/>
      <c r="C232" s="133"/>
      <c r="D232" s="195" t="s">
        <v>365</v>
      </c>
      <c r="E232" s="194"/>
      <c r="F232" s="193" t="s">
        <v>364</v>
      </c>
      <c r="G232" s="192"/>
      <c r="H232" s="139"/>
      <c r="I232" s="139"/>
      <c r="J232" s="139"/>
      <c r="K232" s="191"/>
      <c r="L232" s="190"/>
      <c r="M232" s="143"/>
      <c r="N232" s="189"/>
      <c r="O232" s="151"/>
      <c r="P232" s="189" t="str">
        <f t="shared" si="20"/>
        <v/>
      </c>
    </row>
    <row r="233" spans="1:16" ht="15.75" thickBot="1">
      <c r="A233" s="105"/>
      <c r="B233" s="115">
        <f>+B230+1</f>
        <v>138</v>
      </c>
      <c r="C233" s="114"/>
      <c r="D233" s="155" t="s">
        <v>363</v>
      </c>
      <c r="E233" s="131"/>
      <c r="F233" s="131"/>
      <c r="G233" s="131"/>
      <c r="H233" s="131"/>
      <c r="I233" s="131"/>
      <c r="J233" s="131"/>
      <c r="K233" s="131"/>
      <c r="L233" s="188" t="s">
        <v>362</v>
      </c>
      <c r="M233" s="143"/>
      <c r="N233" s="187" t="s">
        <v>362</v>
      </c>
      <c r="O233" s="151"/>
      <c r="P233" s="187" t="s">
        <v>362</v>
      </c>
    </row>
    <row r="234" spans="1:16">
      <c r="A234" s="105"/>
      <c r="B234" s="115">
        <f t="shared" ref="B234:B241" si="21">+B233+1</f>
        <v>139</v>
      </c>
      <c r="C234" s="114"/>
      <c r="D234" s="131" t="s">
        <v>361</v>
      </c>
      <c r="E234" s="104" t="s">
        <v>360</v>
      </c>
      <c r="F234" s="131"/>
      <c r="G234" s="131"/>
      <c r="H234" s="131"/>
      <c r="I234" s="131"/>
      <c r="J234" s="131"/>
      <c r="K234" s="131"/>
      <c r="L234" s="421">
        <v>59306414.780000001</v>
      </c>
      <c r="M234" s="143"/>
      <c r="N234" s="186">
        <v>59306414.780000001</v>
      </c>
      <c r="O234" s="151"/>
      <c r="P234" s="186">
        <f>IF(N234="","",N234-L234)</f>
        <v>0</v>
      </c>
    </row>
    <row r="235" spans="1:16">
      <c r="A235" s="105"/>
      <c r="B235" s="115">
        <f t="shared" si="21"/>
        <v>140</v>
      </c>
      <c r="C235" s="114"/>
      <c r="D235" s="131" t="s">
        <v>359</v>
      </c>
      <c r="E235" s="104" t="s">
        <v>358</v>
      </c>
      <c r="F235" s="131"/>
      <c r="G235" s="131"/>
      <c r="H235" s="131"/>
      <c r="I235" s="131"/>
      <c r="J235" s="131"/>
      <c r="K235" s="131"/>
      <c r="L235" s="421">
        <v>0</v>
      </c>
      <c r="M235" s="143"/>
      <c r="N235" s="186">
        <v>0</v>
      </c>
      <c r="O235" s="151"/>
      <c r="P235" s="186">
        <f>IF(N235="","",N235-L235)</f>
        <v>0</v>
      </c>
    </row>
    <row r="236" spans="1:16" ht="15.75" thickBot="1">
      <c r="A236" s="105"/>
      <c r="B236" s="115">
        <f t="shared" si="21"/>
        <v>141</v>
      </c>
      <c r="C236" s="114"/>
      <c r="D236" s="185" t="s">
        <v>357</v>
      </c>
      <c r="E236" s="131"/>
      <c r="F236" s="131"/>
      <c r="G236" s="131"/>
      <c r="H236" s="108"/>
      <c r="I236" s="108"/>
      <c r="J236" s="108"/>
      <c r="K236" s="131"/>
      <c r="L236" s="184" t="s">
        <v>356</v>
      </c>
      <c r="M236" s="143"/>
      <c r="N236" s="183" t="s">
        <v>356</v>
      </c>
      <c r="O236" s="151"/>
      <c r="P236" s="183" t="s">
        <v>356</v>
      </c>
    </row>
    <row r="237" spans="1:16">
      <c r="A237" s="105"/>
      <c r="B237" s="115">
        <f t="shared" si="21"/>
        <v>142</v>
      </c>
      <c r="C237" s="114"/>
      <c r="D237" s="131" t="s">
        <v>355</v>
      </c>
      <c r="E237" s="104" t="s">
        <v>354</v>
      </c>
      <c r="F237" s="131"/>
      <c r="G237" s="125"/>
      <c r="H237" s="108"/>
      <c r="I237" s="108"/>
      <c r="J237" s="108"/>
      <c r="K237" s="131"/>
      <c r="L237" s="426">
        <v>1214774946.7555003</v>
      </c>
      <c r="M237" s="143"/>
      <c r="N237" s="425">
        <v>1214774946.7555003</v>
      </c>
      <c r="O237" s="151"/>
      <c r="P237" s="425">
        <f t="shared" ref="P237:P242" si="22">IF(N237="","",N237-L237)</f>
        <v>0</v>
      </c>
    </row>
    <row r="238" spans="1:16">
      <c r="A238" s="105"/>
      <c r="B238" s="115">
        <f t="shared" si="21"/>
        <v>143</v>
      </c>
      <c r="C238" s="114"/>
      <c r="D238" s="131" t="str">
        <f>"Less Preferred Stock (ln "&amp;B245&amp;")"</f>
        <v>Less Preferred Stock (ln 149)</v>
      </c>
      <c r="E238" s="104" t="s">
        <v>353</v>
      </c>
      <c r="F238" s="131"/>
      <c r="G238" s="131"/>
      <c r="H238" s="108"/>
      <c r="I238" s="108"/>
      <c r="J238" s="108"/>
      <c r="K238" s="131"/>
      <c r="L238" s="426">
        <v>0</v>
      </c>
      <c r="M238" s="143"/>
      <c r="N238" s="425">
        <v>0</v>
      </c>
      <c r="O238" s="151"/>
      <c r="P238" s="425">
        <f t="shared" si="22"/>
        <v>0</v>
      </c>
    </row>
    <row r="239" spans="1:16">
      <c r="A239" s="105"/>
      <c r="B239" s="115">
        <f t="shared" si="21"/>
        <v>144</v>
      </c>
      <c r="C239" s="114"/>
      <c r="D239" s="131" t="s">
        <v>352</v>
      </c>
      <c r="E239" s="104" t="s">
        <v>351</v>
      </c>
      <c r="F239" s="131"/>
      <c r="G239" s="131"/>
      <c r="H239" s="108"/>
      <c r="I239" s="108"/>
      <c r="J239" s="108"/>
      <c r="K239" s="131"/>
      <c r="L239" s="426">
        <v>0</v>
      </c>
      <c r="M239" s="143"/>
      <c r="N239" s="425">
        <v>0</v>
      </c>
      <c r="O239" s="151"/>
      <c r="P239" s="425">
        <f t="shared" si="22"/>
        <v>0</v>
      </c>
    </row>
    <row r="240" spans="1:16" ht="15.75" thickBot="1">
      <c r="A240" s="105"/>
      <c r="B240" s="115">
        <f t="shared" si="21"/>
        <v>145</v>
      </c>
      <c r="C240" s="114"/>
      <c r="D240" s="131" t="s">
        <v>350</v>
      </c>
      <c r="E240" s="104" t="s">
        <v>349</v>
      </c>
      <c r="F240" s="131"/>
      <c r="G240" s="131"/>
      <c r="H240" s="108"/>
      <c r="I240" s="108"/>
      <c r="J240" s="108"/>
      <c r="K240" s="131"/>
      <c r="L240" s="424">
        <v>2979333.83</v>
      </c>
      <c r="M240" s="143"/>
      <c r="N240" s="423">
        <v>2979333.83</v>
      </c>
      <c r="O240" s="151"/>
      <c r="P240" s="423">
        <f t="shared" si="22"/>
        <v>0</v>
      </c>
    </row>
    <row r="241" spans="1:21">
      <c r="A241" s="105"/>
      <c r="B241" s="115">
        <f t="shared" si="21"/>
        <v>146</v>
      </c>
      <c r="C241" s="114"/>
      <c r="D241" s="104" t="s">
        <v>348</v>
      </c>
      <c r="E241" s="131" t="str">
        <f>"(ln "&amp;B237&amp;" - ln "&amp;B238&amp;" - ln "&amp;B239&amp;" - ln "&amp;B240&amp;")"</f>
        <v>(ln 142 - ln 143 - ln 144 - ln 145)</v>
      </c>
      <c r="F241" s="178"/>
      <c r="G241" s="105"/>
      <c r="H241" s="125"/>
      <c r="I241" s="125"/>
      <c r="J241" s="125"/>
      <c r="K241" s="125"/>
      <c r="L241" s="177">
        <f>+L237-L238-L239-L240</f>
        <v>1211795612.9255004</v>
      </c>
      <c r="M241" s="143"/>
      <c r="N241" s="422">
        <v>1211795612.9255004</v>
      </c>
      <c r="O241" s="151"/>
      <c r="P241" s="422">
        <f t="shared" si="22"/>
        <v>0</v>
      </c>
    </row>
    <row r="242" spans="1:21" ht="15.75">
      <c r="A242" s="105"/>
      <c r="B242" s="115"/>
      <c r="C242" s="114"/>
      <c r="D242" s="155"/>
      <c r="E242" s="131"/>
      <c r="F242" s="131"/>
      <c r="G242" s="475" t="s">
        <v>347</v>
      </c>
      <c r="H242" s="475"/>
      <c r="I242" s="131"/>
      <c r="J242" s="175" t="s">
        <v>346</v>
      </c>
      <c r="K242" s="131"/>
      <c r="L242" s="131"/>
      <c r="M242" s="143"/>
      <c r="N242" s="174"/>
      <c r="O242" s="151"/>
      <c r="P242" s="174" t="str">
        <f t="shared" si="22"/>
        <v/>
      </c>
    </row>
    <row r="243" spans="1:21" ht="15.75" thickBot="1">
      <c r="A243" s="105"/>
      <c r="B243" s="115">
        <f>+B241+1</f>
        <v>147</v>
      </c>
      <c r="C243" s="114"/>
      <c r="D243" s="155"/>
      <c r="E243" s="172" t="str">
        <f>""&amp;'[6]OKT Historic TCOS'!O1&amp;" Avg Balances"</f>
        <v>2017 Avg Balances</v>
      </c>
      <c r="G243" s="172" t="s">
        <v>345</v>
      </c>
      <c r="H243" s="173" t="s">
        <v>344</v>
      </c>
      <c r="I243" s="131"/>
      <c r="J243" s="172" t="s">
        <v>343</v>
      </c>
      <c r="K243" s="131"/>
      <c r="L243" s="172" t="s">
        <v>342</v>
      </c>
      <c r="M243" s="143"/>
      <c r="N243" s="171" t="s">
        <v>342</v>
      </c>
      <c r="O243" s="157"/>
      <c r="P243" s="171" t="s">
        <v>342</v>
      </c>
      <c r="Q243" s="168"/>
      <c r="R243" s="168"/>
      <c r="S243" s="168"/>
      <c r="T243" s="168"/>
      <c r="U243" s="168"/>
    </row>
    <row r="244" spans="1:21">
      <c r="A244" s="105"/>
      <c r="B244" s="115">
        <f>+B243+1</f>
        <v>148</v>
      </c>
      <c r="C244" s="114"/>
      <c r="D244" s="131" t="s">
        <v>341</v>
      </c>
      <c r="E244" s="421">
        <v>1292895585.4299998</v>
      </c>
      <c r="G244" s="162">
        <f>IF($E$247&gt;0,E244/$E$247,0)</f>
        <v>0.51618961502275151</v>
      </c>
      <c r="H244" s="161">
        <f>IF(G246&gt;E249,1-H245-H246,0)</f>
        <v>0</v>
      </c>
      <c r="I244" s="160"/>
      <c r="J244" s="166">
        <f>IF(E244&gt;0,L234/E244,0)</f>
        <v>4.5871001067944304E-2</v>
      </c>
      <c r="K244" s="120"/>
      <c r="L244" s="170">
        <f>IF(G$246&gt;E$249,J244*H244,J244*G244)</f>
        <v>2.3678134381970393E-2</v>
      </c>
      <c r="M244" s="143"/>
      <c r="N244" s="169">
        <v>2.3678134381970393E-2</v>
      </c>
      <c r="O244" s="157"/>
      <c r="P244" s="169">
        <f>IF(N244="","",N244-L244)</f>
        <v>0</v>
      </c>
      <c r="Q244" s="168"/>
      <c r="R244" s="168"/>
      <c r="S244" s="168"/>
      <c r="T244" s="168"/>
      <c r="U244" s="168"/>
    </row>
    <row r="245" spans="1:21">
      <c r="A245" s="105"/>
      <c r="B245" s="115">
        <f>+B244+1</f>
        <v>149</v>
      </c>
      <c r="C245" s="114"/>
      <c r="D245" s="131" t="s">
        <v>340</v>
      </c>
      <c r="E245" s="421">
        <v>0</v>
      </c>
      <c r="G245" s="162">
        <f>IF($E$247&gt;0,E245/$E$247,0)</f>
        <v>0</v>
      </c>
      <c r="H245" s="161">
        <f>IF(G246&gt;E249,G245,0)</f>
        <v>0</v>
      </c>
      <c r="I245" s="160"/>
      <c r="J245" s="166">
        <f>IF(E245&gt;0,L235/E245,0)</f>
        <v>0</v>
      </c>
      <c r="K245" s="120"/>
      <c r="L245" s="165">
        <f>IF(G$246&gt;E$249,J245*H245,J245*G245)</f>
        <v>0</v>
      </c>
      <c r="M245" s="143"/>
      <c r="N245" s="164">
        <v>0</v>
      </c>
      <c r="O245" s="157"/>
      <c r="P245" s="164">
        <f>IF(N245="","",N245-L245)</f>
        <v>0</v>
      </c>
    </row>
    <row r="246" spans="1:21" ht="15.75" thickBot="1">
      <c r="A246" s="105"/>
      <c r="B246" s="115">
        <f>+B245+1</f>
        <v>150</v>
      </c>
      <c r="C246" s="114"/>
      <c r="D246" s="155" t="str">
        <f>"Avg Common Stock  (ln "&amp;B241&amp;") (Note U)"</f>
        <v>Avg Common Stock  (ln 146) (Note U)</v>
      </c>
      <c r="E246" s="163">
        <f>+L241</f>
        <v>1211795612.9255004</v>
      </c>
      <c r="G246" s="162">
        <f>IF($E$247&gt;0,E246/$E$247,0)</f>
        <v>0.48381038497724849</v>
      </c>
      <c r="H246" s="161">
        <f>IF(G246&gt;E249,E249,0)</f>
        <v>0</v>
      </c>
      <c r="I246" s="160"/>
      <c r="J246" s="420">
        <v>0.112</v>
      </c>
      <c r="K246" s="120"/>
      <c r="L246" s="158">
        <f>IF(G$246&gt;E$249,J246*H246,J246*G246)</f>
        <v>5.4186763117451832E-2</v>
      </c>
      <c r="M246" s="143"/>
      <c r="N246" s="156">
        <v>5.4186763117451832E-2</v>
      </c>
      <c r="O246" s="157"/>
      <c r="P246" s="156">
        <f>IF(N246="","",N246-L246)</f>
        <v>0</v>
      </c>
    </row>
    <row r="247" spans="1:21" ht="15.75">
      <c r="A247" s="105"/>
      <c r="B247" s="115">
        <f>+B246+1</f>
        <v>151</v>
      </c>
      <c r="C247" s="114"/>
      <c r="D247" s="155" t="str">
        <f>"  Total  (sum lns "&amp;B244&amp;" to "&amp;B246&amp;")"</f>
        <v xml:space="preserve">  Total  (sum lns 148 to 150)</v>
      </c>
      <c r="E247" s="154">
        <f>E246+E245+E244</f>
        <v>2504691198.3555002</v>
      </c>
      <c r="G247" s="131" t="s">
        <v>288</v>
      </c>
      <c r="I247" s="131"/>
      <c r="J247" s="143"/>
      <c r="K247" s="153" t="s">
        <v>339</v>
      </c>
      <c r="L247" s="152">
        <f>SUM(L244:L246)</f>
        <v>7.7864897499422228E-2</v>
      </c>
      <c r="M247" s="143"/>
      <c r="N247" s="150">
        <v>7.7864897499422228E-2</v>
      </c>
      <c r="O247" s="151"/>
      <c r="P247" s="150">
        <f>IF(N247="","",N247-L247)</f>
        <v>0</v>
      </c>
    </row>
    <row r="248" spans="1:21">
      <c r="A248" s="105"/>
      <c r="B248" s="149"/>
      <c r="C248" s="108"/>
      <c r="D248" s="108"/>
      <c r="E248" s="143"/>
      <c r="F248" s="143"/>
      <c r="G248" s="143"/>
      <c r="H248" s="143"/>
      <c r="I248" s="143"/>
      <c r="J248" s="129"/>
      <c r="K248" s="129"/>
      <c r="L248" s="129"/>
      <c r="M248" s="143"/>
      <c r="N248" s="108"/>
      <c r="O248" s="111"/>
      <c r="P248" s="111"/>
      <c r="Q248" s="111"/>
      <c r="R248" s="111"/>
      <c r="S248" s="111"/>
      <c r="T248" s="111"/>
      <c r="U248" s="111"/>
    </row>
    <row r="249" spans="1:21">
      <c r="A249" s="105"/>
      <c r="B249" s="134">
        <f>+B247+1</f>
        <v>152</v>
      </c>
      <c r="C249" s="108"/>
      <c r="D249" s="148" t="s">
        <v>338</v>
      </c>
      <c r="E249" s="419">
        <f>+'[6]OKT Historic TCOS'!E262</f>
        <v>0.52500000000000002</v>
      </c>
      <c r="F249" s="143"/>
      <c r="G249" s="146"/>
      <c r="H249" s="143"/>
      <c r="I249" s="143"/>
      <c r="J249" s="131"/>
      <c r="K249" s="125"/>
      <c r="L249" s="131"/>
      <c r="M249" s="143"/>
      <c r="N249" s="108"/>
      <c r="O249" s="111"/>
      <c r="P249" s="111"/>
      <c r="Q249" s="111"/>
      <c r="R249" s="111"/>
      <c r="S249" s="111"/>
      <c r="T249" s="111"/>
      <c r="U249" s="111"/>
    </row>
    <row r="250" spans="1:21" s="105" customFormat="1">
      <c r="B250" s="115"/>
      <c r="C250" s="143"/>
      <c r="D250" s="143"/>
      <c r="E250" s="143"/>
      <c r="F250" s="143"/>
      <c r="G250" s="143"/>
      <c r="H250" s="143"/>
      <c r="I250" s="143"/>
      <c r="J250" s="131"/>
      <c r="K250" s="125"/>
      <c r="L250" s="131"/>
      <c r="M250" s="143"/>
      <c r="N250" s="143"/>
      <c r="O250" s="111"/>
      <c r="P250" s="111"/>
      <c r="Q250" s="111"/>
      <c r="R250" s="111"/>
      <c r="S250" s="111"/>
      <c r="T250" s="111"/>
      <c r="U250" s="111"/>
    </row>
    <row r="251" spans="1:21" ht="15.75">
      <c r="B251" s="134"/>
      <c r="C251" s="133"/>
      <c r="D251" s="145"/>
      <c r="E251" s="145"/>
      <c r="F251" s="140" t="str">
        <f>F186</f>
        <v xml:space="preserve">AEP West SPP Member Companies </v>
      </c>
      <c r="G251" s="144"/>
      <c r="H251" s="139"/>
      <c r="I251" s="139"/>
      <c r="J251" s="139"/>
      <c r="K251" s="138"/>
      <c r="L251" s="139"/>
      <c r="M251" s="143"/>
      <c r="N251" s="108"/>
      <c r="O251" s="111"/>
      <c r="P251" s="111"/>
      <c r="Q251" s="111"/>
      <c r="R251" s="111"/>
      <c r="S251" s="111"/>
      <c r="T251" s="111"/>
      <c r="U251" s="111"/>
    </row>
    <row r="252" spans="1:21">
      <c r="B252" s="134"/>
      <c r="C252" s="133"/>
      <c r="D252" s="142"/>
      <c r="E252" s="133"/>
      <c r="F252" s="140" t="str">
        <f>F187</f>
        <v>Transmission Cost of Service Formula Rate</v>
      </c>
      <c r="G252" s="139"/>
      <c r="H252" s="139"/>
      <c r="I252" s="139"/>
      <c r="J252" s="139"/>
      <c r="K252" s="138"/>
      <c r="L252" s="136"/>
      <c r="M252" s="108"/>
      <c r="N252" s="108"/>
      <c r="O252" s="111"/>
      <c r="P252" s="111"/>
      <c r="Q252" s="111"/>
      <c r="R252" s="111"/>
      <c r="S252" s="111"/>
      <c r="T252" s="111"/>
      <c r="U252" s="111"/>
    </row>
    <row r="253" spans="1:21" ht="15.75">
      <c r="B253" s="134"/>
      <c r="C253" s="133"/>
      <c r="D253" s="142"/>
      <c r="E253" s="141"/>
      <c r="F253" s="140" t="str">
        <f>F188</f>
        <v>Utilizing Actual Cost Data for 2017 with Average Ratebase Balances</v>
      </c>
      <c r="G253" s="139"/>
      <c r="H253" s="139"/>
      <c r="I253" s="139"/>
      <c r="J253" s="139"/>
      <c r="K253" s="138"/>
      <c r="L253" s="136"/>
      <c r="M253" s="108"/>
      <c r="N253" s="108"/>
      <c r="O253" s="111"/>
      <c r="P253" s="111"/>
      <c r="Q253" s="111"/>
      <c r="R253" s="111"/>
      <c r="S253" s="111"/>
      <c r="T253" s="111"/>
      <c r="U253" s="111"/>
    </row>
    <row r="254" spans="1:21" ht="15.75">
      <c r="B254" s="134"/>
      <c r="C254" s="133"/>
      <c r="D254" s="142"/>
      <c r="E254" s="141"/>
      <c r="F254" s="140"/>
      <c r="G254" s="139"/>
      <c r="H254" s="139"/>
      <c r="I254" s="139"/>
      <c r="J254" s="139"/>
      <c r="K254" s="138"/>
      <c r="L254" s="136"/>
      <c r="M254" s="108"/>
      <c r="N254" s="108"/>
      <c r="O254" s="111"/>
      <c r="P254" s="111"/>
      <c r="Q254" s="111"/>
      <c r="R254" s="111"/>
      <c r="S254" s="111"/>
      <c r="T254" s="111"/>
      <c r="U254" s="111"/>
    </row>
    <row r="255" spans="1:21" ht="15.75">
      <c r="B255" s="134"/>
      <c r="C255" s="133"/>
      <c r="D255" s="142"/>
      <c r="E255" s="141"/>
      <c r="F255" s="140" t="str">
        <f>F190</f>
        <v>AEP OKLAHOMA TRANSMISSION COMPANY, INC</v>
      </c>
      <c r="G255" s="139"/>
      <c r="H255" s="139"/>
      <c r="I255" s="139"/>
      <c r="J255" s="139"/>
      <c r="K255" s="138"/>
      <c r="L255" s="136"/>
      <c r="M255" s="108"/>
      <c r="N255" s="108"/>
      <c r="O255" s="111"/>
      <c r="P255" s="111"/>
      <c r="Q255" s="111"/>
      <c r="R255" s="111"/>
      <c r="S255" s="111"/>
      <c r="T255" s="111"/>
      <c r="U255" s="111"/>
    </row>
    <row r="256" spans="1:21" ht="15.75">
      <c r="B256" s="134"/>
      <c r="C256" s="133"/>
      <c r="D256" s="142"/>
      <c r="E256" s="141"/>
      <c r="F256" s="140"/>
      <c r="G256" s="139"/>
      <c r="H256" s="139"/>
      <c r="I256" s="139"/>
      <c r="J256" s="139"/>
      <c r="K256" s="138"/>
      <c r="L256" s="136"/>
      <c r="M256" s="108"/>
      <c r="N256" s="108"/>
      <c r="O256" s="111"/>
      <c r="P256" s="111"/>
      <c r="Q256" s="111"/>
      <c r="R256" s="111"/>
      <c r="S256" s="111"/>
      <c r="T256" s="111"/>
      <c r="U256" s="111"/>
    </row>
    <row r="257" spans="2:21" ht="15.75">
      <c r="B257" s="137" t="s">
        <v>337</v>
      </c>
      <c r="C257" s="132"/>
      <c r="D257" s="119"/>
      <c r="E257" s="125"/>
      <c r="F257" s="137" t="s">
        <v>336</v>
      </c>
      <c r="G257" s="131"/>
      <c r="H257" s="131"/>
      <c r="I257" s="131"/>
      <c r="J257" s="131"/>
      <c r="K257" s="125"/>
      <c r="L257" s="131"/>
      <c r="M257" s="108"/>
      <c r="N257" s="108"/>
      <c r="O257" s="111"/>
      <c r="P257" s="111"/>
      <c r="Q257" s="111"/>
      <c r="R257" s="111"/>
      <c r="S257" s="111"/>
      <c r="T257" s="111"/>
      <c r="U257" s="111"/>
    </row>
    <row r="258" spans="2:21">
      <c r="C258" s="132"/>
      <c r="L258" s="136"/>
      <c r="M258" s="108"/>
      <c r="N258" s="108"/>
      <c r="O258" s="111"/>
      <c r="P258" s="111"/>
      <c r="Q258" s="111"/>
      <c r="R258" s="111"/>
      <c r="S258" s="111"/>
      <c r="T258" s="111"/>
      <c r="U258" s="111"/>
    </row>
    <row r="259" spans="2:21">
      <c r="C259" s="132"/>
      <c r="D259" s="135" t="s">
        <v>335</v>
      </c>
      <c r="J259" s="118"/>
      <c r="K259" s="108"/>
      <c r="L259" s="108"/>
      <c r="M259" s="108"/>
      <c r="N259" s="108"/>
      <c r="O259" s="111"/>
      <c r="P259" s="111"/>
      <c r="Q259" s="111"/>
      <c r="R259" s="111"/>
      <c r="S259" s="111"/>
      <c r="T259" s="111"/>
      <c r="U259" s="111"/>
    </row>
    <row r="260" spans="2:21">
      <c r="B260" s="134"/>
      <c r="C260" s="133"/>
      <c r="D260" s="105" t="s">
        <v>334</v>
      </c>
      <c r="E260" s="114"/>
      <c r="F260" s="114"/>
      <c r="G260" s="131"/>
      <c r="H260" s="131"/>
      <c r="I260" s="131"/>
      <c r="J260" s="126"/>
      <c r="K260" s="108"/>
      <c r="L260" s="108"/>
      <c r="M260" s="108"/>
      <c r="N260" s="108"/>
      <c r="O260" s="111"/>
      <c r="P260" s="111"/>
      <c r="Q260" s="111"/>
      <c r="R260" s="111"/>
      <c r="S260" s="111"/>
      <c r="T260" s="111"/>
      <c r="U260" s="111"/>
    </row>
    <row r="261" spans="2:21">
      <c r="B261" s="104"/>
      <c r="D261" s="119" t="s">
        <v>333</v>
      </c>
      <c r="E261" s="125"/>
      <c r="F261" s="125"/>
      <c r="G261" s="131"/>
      <c r="H261" s="131"/>
      <c r="I261" s="131"/>
      <c r="J261" s="126"/>
      <c r="K261" s="108"/>
      <c r="L261" s="108"/>
      <c r="M261" s="108"/>
      <c r="N261" s="108"/>
      <c r="O261" s="111"/>
      <c r="P261" s="111"/>
      <c r="Q261" s="111"/>
      <c r="R261" s="111"/>
      <c r="S261" s="111"/>
      <c r="T261" s="111"/>
      <c r="U261" s="111"/>
    </row>
    <row r="262" spans="2:21">
      <c r="B262" s="104"/>
      <c r="D262" s="119"/>
      <c r="E262" s="125"/>
      <c r="F262" s="125"/>
      <c r="G262" s="131"/>
      <c r="H262" s="131"/>
      <c r="I262" s="131"/>
      <c r="J262" s="126"/>
      <c r="K262" s="108"/>
      <c r="L262" s="108"/>
      <c r="M262" s="108"/>
      <c r="N262" s="108"/>
      <c r="O262" s="111"/>
      <c r="P262" s="111"/>
      <c r="Q262" s="111"/>
      <c r="R262" s="111"/>
      <c r="S262" s="111"/>
      <c r="T262" s="111"/>
      <c r="U262" s="111"/>
    </row>
    <row r="263" spans="2:21">
      <c r="B263" s="123" t="s">
        <v>332</v>
      </c>
      <c r="C263" s="132"/>
      <c r="D263" s="119" t="s">
        <v>331</v>
      </c>
      <c r="E263" s="125"/>
      <c r="F263" s="125"/>
      <c r="G263" s="131"/>
      <c r="H263" s="131"/>
      <c r="I263" s="131"/>
      <c r="J263" s="126"/>
      <c r="K263" s="108"/>
      <c r="L263" s="108"/>
      <c r="M263" s="108"/>
      <c r="N263" s="108"/>
      <c r="O263" s="111"/>
      <c r="P263" s="111"/>
      <c r="Q263" s="111"/>
      <c r="R263" s="111"/>
      <c r="S263" s="111"/>
      <c r="T263" s="111"/>
      <c r="U263" s="111"/>
    </row>
    <row r="264" spans="2:21">
      <c r="B264" s="123"/>
      <c r="C264" s="122"/>
      <c r="D264" s="119" t="s">
        <v>330</v>
      </c>
      <c r="E264" s="125"/>
      <c r="F264" s="125"/>
      <c r="G264" s="125"/>
      <c r="H264" s="125"/>
      <c r="I264" s="125"/>
      <c r="J264" s="124"/>
      <c r="K264" s="108"/>
      <c r="L264" s="108"/>
      <c r="M264" s="108"/>
      <c r="N264" s="108"/>
      <c r="O264" s="111"/>
      <c r="P264" s="111"/>
      <c r="Q264" s="111"/>
      <c r="R264" s="111"/>
      <c r="S264" s="111"/>
      <c r="T264" s="111"/>
      <c r="U264" s="111"/>
    </row>
    <row r="265" spans="2:21">
      <c r="B265" s="121"/>
      <c r="C265" s="120"/>
      <c r="D265" s="119" t="s">
        <v>329</v>
      </c>
      <c r="E265" s="127"/>
      <c r="F265" s="127"/>
      <c r="G265" s="125"/>
      <c r="H265" s="125"/>
      <c r="I265" s="125"/>
      <c r="J265" s="124"/>
      <c r="K265" s="108"/>
      <c r="L265" s="108"/>
      <c r="M265" s="108"/>
      <c r="N265" s="108"/>
      <c r="O265" s="111"/>
      <c r="P265" s="111"/>
      <c r="Q265" s="111"/>
      <c r="R265" s="111"/>
      <c r="S265" s="111"/>
      <c r="T265" s="111"/>
      <c r="U265" s="111"/>
    </row>
    <row r="266" spans="2:21">
      <c r="B266" s="121"/>
      <c r="C266" s="120"/>
      <c r="D266" s="119" t="s">
        <v>328</v>
      </c>
      <c r="E266" s="125"/>
      <c r="F266" s="125"/>
      <c r="G266" s="125"/>
      <c r="H266" s="125"/>
      <c r="I266" s="125"/>
      <c r="J266" s="124"/>
      <c r="K266" s="108"/>
      <c r="L266" s="108"/>
      <c r="M266" s="108"/>
      <c r="N266" s="108"/>
      <c r="O266" s="111"/>
      <c r="P266" s="111"/>
      <c r="Q266" s="111"/>
      <c r="R266" s="111"/>
      <c r="S266" s="111"/>
      <c r="T266" s="111"/>
      <c r="U266" s="111"/>
    </row>
    <row r="267" spans="2:21">
      <c r="B267" s="115"/>
      <c r="C267" s="114"/>
      <c r="D267" s="119" t="s">
        <v>327</v>
      </c>
      <c r="E267" s="125"/>
      <c r="F267" s="125"/>
      <c r="G267" s="125"/>
      <c r="H267" s="125"/>
      <c r="I267" s="125"/>
      <c r="J267" s="124"/>
      <c r="K267" s="108"/>
      <c r="L267" s="108"/>
      <c r="M267" s="108"/>
      <c r="N267" s="108"/>
      <c r="O267" s="111"/>
      <c r="P267" s="111"/>
      <c r="Q267" s="111"/>
      <c r="R267" s="111"/>
      <c r="S267" s="111"/>
      <c r="T267" s="111"/>
      <c r="U267" s="111"/>
    </row>
    <row r="268" spans="2:21" ht="15" customHeight="1">
      <c r="B268" s="115"/>
      <c r="C268" s="114"/>
      <c r="D268" s="119"/>
      <c r="E268" s="125"/>
      <c r="F268" s="125"/>
      <c r="G268" s="125"/>
      <c r="H268" s="125"/>
      <c r="I268" s="125"/>
      <c r="J268" s="124"/>
      <c r="K268" s="108"/>
      <c r="L268" s="108"/>
      <c r="M268" s="108"/>
      <c r="N268" s="108"/>
      <c r="O268" s="111"/>
      <c r="P268" s="111"/>
      <c r="Q268" s="111"/>
      <c r="R268" s="111"/>
      <c r="S268" s="111"/>
      <c r="T268" s="111"/>
      <c r="U268" s="111"/>
    </row>
    <row r="269" spans="2:21">
      <c r="B269" s="115" t="s">
        <v>326</v>
      </c>
      <c r="C269" s="114"/>
      <c r="D269" s="130" t="s">
        <v>325</v>
      </c>
      <c r="E269" s="125"/>
      <c r="F269" s="125"/>
      <c r="G269" s="125"/>
      <c r="H269" s="125"/>
      <c r="I269" s="125"/>
      <c r="J269" s="124"/>
      <c r="K269" s="108"/>
      <c r="L269" s="108"/>
      <c r="M269" s="108"/>
      <c r="N269" s="108"/>
      <c r="O269" s="111"/>
      <c r="P269" s="111"/>
      <c r="Q269" s="111"/>
      <c r="R269" s="111"/>
      <c r="S269" s="111"/>
      <c r="T269" s="111"/>
      <c r="U269" s="111"/>
    </row>
    <row r="270" spans="2:21">
      <c r="B270" s="115"/>
      <c r="C270" s="114"/>
      <c r="D270" s="130"/>
      <c r="E270" s="125"/>
      <c r="F270" s="125"/>
      <c r="G270" s="125"/>
      <c r="H270" s="125"/>
      <c r="I270" s="125"/>
      <c r="J270" s="124"/>
      <c r="K270" s="108"/>
      <c r="L270" s="108"/>
      <c r="M270" s="108"/>
      <c r="N270" s="108"/>
      <c r="O270" s="111"/>
      <c r="P270" s="111"/>
      <c r="Q270" s="111"/>
      <c r="R270" s="111"/>
      <c r="S270" s="111"/>
      <c r="T270" s="111"/>
      <c r="U270" s="111"/>
    </row>
    <row r="271" spans="2:21">
      <c r="B271" s="115" t="s">
        <v>324</v>
      </c>
      <c r="C271" s="114"/>
      <c r="D271" s="129" t="s">
        <v>323</v>
      </c>
      <c r="E271" s="125"/>
      <c r="F271" s="125"/>
      <c r="G271" s="125"/>
      <c r="H271" s="125"/>
      <c r="I271" s="125"/>
      <c r="J271" s="124"/>
      <c r="K271" s="108"/>
      <c r="L271" s="108"/>
      <c r="M271" s="108"/>
      <c r="N271" s="108"/>
      <c r="O271" s="111"/>
      <c r="P271" s="111"/>
      <c r="Q271" s="111"/>
      <c r="R271" s="111"/>
      <c r="S271" s="111"/>
      <c r="T271" s="111"/>
      <c r="U271" s="111"/>
    </row>
    <row r="272" spans="2:21">
      <c r="B272" s="115"/>
      <c r="C272" s="114"/>
      <c r="D272" s="129" t="str">
        <f>"of the trued-up revenue requirement for each project, based on an FCR rate caclulated from inputs on this TCOS. Line "&amp;B35&amp;" shows the incremental ARR for"</f>
        <v>of the trued-up revenue requirement for each project, based on an FCR rate caclulated from inputs on this TCOS. Line 15 shows the incremental ARR for</v>
      </c>
      <c r="E272" s="125"/>
      <c r="F272" s="125"/>
      <c r="G272" s="125"/>
      <c r="H272" s="125"/>
      <c r="I272" s="125"/>
      <c r="J272" s="124"/>
      <c r="K272" s="108"/>
      <c r="L272" s="108"/>
      <c r="M272" s="108"/>
      <c r="N272" s="108"/>
      <c r="O272" s="111"/>
      <c r="P272" s="111"/>
      <c r="Q272" s="111"/>
      <c r="R272" s="111"/>
      <c r="S272" s="111"/>
      <c r="T272" s="111"/>
      <c r="U272" s="111"/>
    </row>
    <row r="273" spans="2:21">
      <c r="B273" s="115"/>
      <c r="C273" s="114"/>
      <c r="D273" s="129" t="s">
        <v>322</v>
      </c>
      <c r="E273" s="125"/>
      <c r="F273" s="125"/>
      <c r="G273" s="125"/>
      <c r="H273" s="125"/>
      <c r="I273" s="125"/>
      <c r="J273" s="124"/>
      <c r="K273" s="108"/>
      <c r="L273" s="108"/>
      <c r="M273" s="108"/>
      <c r="N273" s="108"/>
      <c r="O273" s="111"/>
      <c r="P273" s="119"/>
      <c r="Q273" s="119"/>
      <c r="R273" s="111"/>
      <c r="S273" s="111"/>
      <c r="T273" s="111"/>
      <c r="U273" s="111"/>
    </row>
    <row r="274" spans="2:21">
      <c r="B274" s="115"/>
      <c r="C274" s="114"/>
      <c r="D274" s="129"/>
      <c r="E274" s="125"/>
      <c r="F274" s="125"/>
      <c r="G274" s="125"/>
      <c r="H274" s="125"/>
      <c r="I274" s="125"/>
      <c r="J274" s="124"/>
      <c r="K274" s="108"/>
      <c r="L274" s="108"/>
      <c r="M274" s="108"/>
      <c r="N274" s="108"/>
      <c r="O274" s="111"/>
      <c r="P274" s="119"/>
      <c r="Q274" s="119"/>
      <c r="R274" s="111"/>
      <c r="S274" s="111"/>
      <c r="T274" s="111"/>
      <c r="U274" s="111"/>
    </row>
    <row r="275" spans="2:21">
      <c r="B275" s="115" t="s">
        <v>321</v>
      </c>
      <c r="C275" s="114"/>
      <c r="D275" s="473" t="s">
        <v>320</v>
      </c>
      <c r="E275" s="474"/>
      <c r="F275" s="474"/>
      <c r="G275" s="474"/>
      <c r="H275" s="474"/>
      <c r="I275" s="474"/>
      <c r="J275" s="474"/>
      <c r="K275" s="108"/>
      <c r="L275" s="108"/>
      <c r="M275" s="108"/>
      <c r="N275" s="108"/>
      <c r="O275" s="111"/>
      <c r="P275" s="119"/>
      <c r="Q275" s="119"/>
      <c r="R275" s="111"/>
      <c r="S275" s="111"/>
      <c r="T275" s="111"/>
      <c r="U275" s="111"/>
    </row>
    <row r="276" spans="2:21">
      <c r="B276" s="115"/>
      <c r="C276" s="114"/>
      <c r="D276" s="474"/>
      <c r="E276" s="474"/>
      <c r="F276" s="474"/>
      <c r="G276" s="474"/>
      <c r="H276" s="474"/>
      <c r="I276" s="474"/>
      <c r="J276" s="474"/>
      <c r="K276" s="108"/>
      <c r="L276" s="108"/>
      <c r="M276" s="108"/>
      <c r="N276" s="108"/>
      <c r="O276" s="111"/>
      <c r="P276" s="119"/>
      <c r="Q276" s="111"/>
      <c r="R276" s="111"/>
      <c r="S276" s="111"/>
      <c r="T276" s="111"/>
      <c r="U276" s="111"/>
    </row>
    <row r="277" spans="2:21">
      <c r="B277" s="115"/>
      <c r="C277" s="114"/>
      <c r="E277" s="125"/>
      <c r="F277" s="125"/>
      <c r="G277" s="125"/>
      <c r="H277" s="125"/>
      <c r="I277" s="125"/>
      <c r="J277" s="124"/>
      <c r="K277" s="108"/>
      <c r="L277" s="108"/>
      <c r="M277" s="108"/>
      <c r="N277" s="108"/>
      <c r="O277" s="111"/>
      <c r="P277" s="111"/>
      <c r="Q277" s="111"/>
      <c r="R277" s="111"/>
      <c r="S277" s="111"/>
      <c r="T277" s="111"/>
      <c r="U277" s="111"/>
    </row>
    <row r="278" spans="2:21">
      <c r="B278" s="115" t="s">
        <v>319</v>
      </c>
      <c r="C278" s="114"/>
      <c r="D278" s="119" t="s">
        <v>318</v>
      </c>
      <c r="E278" s="125"/>
      <c r="F278" s="125"/>
      <c r="G278" s="125"/>
      <c r="H278" s="125"/>
      <c r="I278" s="125"/>
      <c r="J278" s="124"/>
      <c r="K278" s="108"/>
      <c r="L278" s="108"/>
      <c r="M278" s="108"/>
      <c r="N278" s="108"/>
      <c r="O278" s="111"/>
      <c r="P278" s="111"/>
      <c r="Q278" s="111"/>
      <c r="R278" s="111"/>
      <c r="S278" s="111"/>
      <c r="T278" s="111"/>
      <c r="U278" s="111"/>
    </row>
    <row r="279" spans="2:21">
      <c r="B279" s="115"/>
      <c r="C279" s="114"/>
      <c r="D279" s="119" t="s">
        <v>317</v>
      </c>
      <c r="E279" s="125"/>
      <c r="F279" s="125"/>
      <c r="G279" s="125"/>
      <c r="H279" s="125"/>
      <c r="I279" s="125"/>
      <c r="J279" s="124"/>
      <c r="K279" s="108"/>
      <c r="L279" s="108"/>
      <c r="M279" s="108"/>
      <c r="N279" s="108"/>
      <c r="O279" s="111"/>
      <c r="P279" s="111"/>
      <c r="Q279" s="111"/>
      <c r="R279" s="111"/>
      <c r="S279" s="111"/>
      <c r="T279" s="111"/>
      <c r="U279" s="111"/>
    </row>
    <row r="280" spans="2:21">
      <c r="C280" s="114"/>
      <c r="D280" s="119" t="s">
        <v>316</v>
      </c>
      <c r="E280" s="125"/>
      <c r="F280" s="125"/>
      <c r="G280" s="125"/>
      <c r="H280" s="125"/>
      <c r="I280" s="125"/>
      <c r="J280" s="124"/>
      <c r="K280" s="108"/>
      <c r="L280" s="108"/>
      <c r="M280" s="108"/>
      <c r="N280" s="108"/>
      <c r="O280" s="111"/>
      <c r="P280" s="111"/>
      <c r="Q280" s="111"/>
      <c r="R280" s="111"/>
      <c r="S280" s="111"/>
      <c r="T280" s="111"/>
      <c r="U280" s="111"/>
    </row>
    <row r="281" spans="2:21">
      <c r="B281" s="115"/>
      <c r="C281" s="114"/>
      <c r="D281" s="119" t="s">
        <v>315</v>
      </c>
      <c r="E281" s="125"/>
      <c r="F281" s="125"/>
      <c r="G281" s="125"/>
      <c r="H281" s="125"/>
      <c r="I281" s="125"/>
      <c r="J281" s="124"/>
      <c r="K281" s="108"/>
      <c r="L281" s="108"/>
      <c r="M281" s="108"/>
      <c r="N281" s="108"/>
      <c r="O281" s="111"/>
      <c r="P281" s="111"/>
      <c r="Q281" s="111"/>
      <c r="R281" s="111"/>
      <c r="S281" s="111"/>
      <c r="T281" s="111"/>
      <c r="U281" s="111"/>
    </row>
    <row r="282" spans="2:21">
      <c r="B282" s="115"/>
      <c r="C282" s="114"/>
      <c r="D282" s="119"/>
      <c r="E282" s="125"/>
      <c r="F282" s="125"/>
      <c r="G282" s="125"/>
      <c r="H282" s="125"/>
      <c r="I282" s="125"/>
      <c r="J282" s="124"/>
      <c r="K282" s="108"/>
      <c r="L282" s="108"/>
      <c r="M282" s="108"/>
      <c r="N282" s="108"/>
      <c r="O282" s="111"/>
      <c r="P282" s="111"/>
      <c r="Q282" s="111"/>
      <c r="R282" s="111"/>
      <c r="S282" s="111"/>
      <c r="T282" s="111"/>
      <c r="U282" s="111"/>
    </row>
    <row r="283" spans="2:21">
      <c r="B283" s="115" t="s">
        <v>314</v>
      </c>
      <c r="C283" s="114"/>
      <c r="D283" s="119" t="s">
        <v>313</v>
      </c>
      <c r="E283" s="125"/>
      <c r="F283" s="125"/>
      <c r="G283" s="125"/>
      <c r="H283" s="125"/>
      <c r="I283" s="125"/>
      <c r="J283" s="124"/>
      <c r="K283" s="108"/>
      <c r="L283" s="108"/>
      <c r="M283" s="108"/>
      <c r="N283" s="108"/>
      <c r="O283" s="111"/>
      <c r="P283" s="111"/>
      <c r="Q283" s="111"/>
      <c r="R283" s="111"/>
      <c r="S283" s="111"/>
      <c r="T283" s="111"/>
      <c r="U283" s="111"/>
    </row>
    <row r="284" spans="2:21">
      <c r="B284" s="115"/>
      <c r="C284" s="114"/>
      <c r="D284" s="119"/>
      <c r="E284" s="125"/>
      <c r="F284" s="125"/>
      <c r="G284" s="125"/>
      <c r="H284" s="125"/>
      <c r="I284" s="125"/>
      <c r="J284" s="124"/>
      <c r="K284" s="108"/>
      <c r="L284" s="108"/>
      <c r="M284" s="108"/>
      <c r="N284" s="108"/>
      <c r="O284" s="111"/>
      <c r="P284" s="111"/>
      <c r="Q284" s="111"/>
      <c r="R284" s="111"/>
      <c r="S284" s="111"/>
      <c r="T284" s="111"/>
      <c r="U284" s="111"/>
    </row>
    <row r="285" spans="2:21">
      <c r="B285" s="115" t="s">
        <v>312</v>
      </c>
      <c r="C285" s="114"/>
      <c r="D285" s="119" t="str">
        <f>"Cash Working Capital assigned to transmission is one-eighth of O&amp;M allocated to transmission on line "&amp;B130&amp;"."</f>
        <v>Cash Working Capital assigned to transmission is one-eighth of O&amp;M allocated to transmission on line 68.</v>
      </c>
      <c r="E285" s="125"/>
      <c r="F285" s="125"/>
      <c r="G285" s="125"/>
      <c r="H285" s="125"/>
      <c r="I285" s="125"/>
      <c r="J285" s="124"/>
      <c r="K285" s="108"/>
      <c r="L285" s="108"/>
      <c r="M285" s="108"/>
      <c r="N285" s="108"/>
      <c r="O285" s="111"/>
      <c r="P285" s="111"/>
      <c r="Q285" s="111"/>
      <c r="R285" s="111"/>
      <c r="S285" s="111"/>
      <c r="T285" s="111"/>
      <c r="U285" s="111"/>
    </row>
    <row r="286" spans="2:21">
      <c r="B286" s="115"/>
      <c r="C286" s="114"/>
      <c r="D286" s="119"/>
      <c r="E286" s="125"/>
      <c r="F286" s="125"/>
      <c r="G286" s="125"/>
      <c r="H286" s="125"/>
      <c r="I286" s="125"/>
      <c r="J286" s="124"/>
      <c r="K286" s="108"/>
      <c r="L286" s="108"/>
      <c r="M286" s="108"/>
      <c r="N286" s="108"/>
      <c r="O286" s="111"/>
      <c r="P286" s="111"/>
      <c r="Q286" s="111"/>
      <c r="R286" s="111"/>
      <c r="S286" s="111"/>
      <c r="T286" s="111"/>
      <c r="U286" s="111"/>
    </row>
    <row r="287" spans="2:21">
      <c r="B287" s="123" t="s">
        <v>311</v>
      </c>
      <c r="C287" s="122"/>
      <c r="D287" s="120" t="str">
        <f>"Consistent with Paragraph 657 of Order 2003-A, the amount on line "&amp;B109&amp;" is equal to the balance of IPP System Upgrade Credits owed to transmission customers that"</f>
        <v>Consistent with Paragraph 657 of Order 2003-A, the amount on line 62 is equal to the balance of IPP System Upgrade Credits owed to transmission customers that</v>
      </c>
      <c r="E287" s="120"/>
      <c r="F287" s="120"/>
      <c r="G287" s="120"/>
      <c r="H287" s="120"/>
      <c r="I287" s="120"/>
      <c r="J287" s="126"/>
      <c r="K287" s="108"/>
      <c r="L287" s="108"/>
      <c r="M287" s="108"/>
      <c r="N287" s="108"/>
      <c r="O287" s="111"/>
      <c r="P287" s="111"/>
      <c r="Q287" s="111"/>
      <c r="R287" s="111"/>
      <c r="S287" s="111"/>
      <c r="T287" s="111"/>
      <c r="U287" s="111"/>
    </row>
    <row r="288" spans="2:21">
      <c r="B288" s="121"/>
      <c r="C288" s="120"/>
      <c r="D288" s="120" t="s">
        <v>310</v>
      </c>
      <c r="E288" s="120"/>
      <c r="F288" s="120"/>
      <c r="G288" s="120"/>
      <c r="H288" s="120"/>
      <c r="I288" s="120"/>
      <c r="J288" s="126"/>
      <c r="K288" s="108"/>
      <c r="L288" s="108"/>
      <c r="M288" s="108"/>
      <c r="N288" s="108"/>
      <c r="O288" s="111"/>
      <c r="P288" s="111"/>
      <c r="Q288" s="111"/>
      <c r="R288" s="111"/>
      <c r="S288" s="111"/>
      <c r="T288" s="111"/>
      <c r="U288" s="111"/>
    </row>
    <row r="289" spans="2:21">
      <c r="B289" s="121"/>
      <c r="C289" s="120"/>
      <c r="D289" s="120" t="str">
        <f>"expense is included on line "&amp;B176&amp;"."</f>
        <v>expense is included on line 105.</v>
      </c>
      <c r="E289" s="120"/>
      <c r="F289" s="120"/>
      <c r="G289" s="120"/>
      <c r="H289" s="120"/>
      <c r="I289" s="120"/>
      <c r="J289" s="126"/>
      <c r="K289" s="108"/>
      <c r="L289" s="108"/>
      <c r="M289" s="108"/>
      <c r="N289" s="108"/>
      <c r="O289" s="111"/>
      <c r="P289" s="111"/>
      <c r="Q289" s="111"/>
      <c r="R289" s="111"/>
      <c r="S289" s="111"/>
      <c r="T289" s="111"/>
      <c r="U289" s="111"/>
    </row>
    <row r="290" spans="2:21">
      <c r="B290" s="121"/>
      <c r="C290" s="120"/>
      <c r="D290" s="120"/>
      <c r="E290" s="120"/>
      <c r="F290" s="120"/>
      <c r="G290" s="120"/>
      <c r="H290" s="120"/>
      <c r="I290" s="120"/>
      <c r="J290" s="126"/>
      <c r="K290" s="108"/>
      <c r="L290" s="108"/>
      <c r="M290" s="108"/>
      <c r="N290" s="108"/>
      <c r="O290" s="111"/>
      <c r="P290" s="111"/>
      <c r="Q290" s="111"/>
      <c r="R290" s="111"/>
      <c r="S290" s="111"/>
      <c r="T290" s="111"/>
      <c r="U290" s="111"/>
    </row>
    <row r="291" spans="2:21">
      <c r="B291" s="123" t="s">
        <v>309</v>
      </c>
      <c r="C291" s="120"/>
      <c r="D291" s="119" t="s">
        <v>308</v>
      </c>
      <c r="E291" s="120"/>
      <c r="F291" s="120"/>
      <c r="G291" s="120"/>
      <c r="H291" s="120"/>
      <c r="I291" s="120"/>
      <c r="J291" s="126"/>
      <c r="K291" s="108"/>
      <c r="L291" s="108"/>
      <c r="M291" s="108"/>
      <c r="N291" s="108"/>
      <c r="O291" s="111"/>
      <c r="P291" s="111"/>
      <c r="Q291" s="111"/>
      <c r="R291" s="111"/>
      <c r="S291" s="111"/>
      <c r="T291" s="111"/>
      <c r="U291" s="111"/>
    </row>
    <row r="292" spans="2:21">
      <c r="B292" s="123"/>
      <c r="C292" s="120"/>
      <c r="D292" s="119"/>
      <c r="E292" s="120"/>
      <c r="F292" s="120"/>
      <c r="G292" s="120"/>
      <c r="H292" s="120"/>
      <c r="I292" s="120"/>
      <c r="J292" s="126"/>
      <c r="K292" s="108"/>
      <c r="L292" s="108"/>
      <c r="M292" s="108"/>
      <c r="N292" s="108"/>
      <c r="O292" s="111"/>
      <c r="P292" s="111"/>
      <c r="Q292" s="111"/>
      <c r="R292" s="111"/>
      <c r="S292" s="111"/>
      <c r="T292" s="111"/>
      <c r="U292" s="111"/>
    </row>
    <row r="293" spans="2:21">
      <c r="B293" s="123" t="s">
        <v>307</v>
      </c>
      <c r="C293" s="120"/>
      <c r="D293" s="120" t="s">
        <v>306</v>
      </c>
      <c r="E293" s="120"/>
      <c r="F293" s="120"/>
      <c r="G293" s="120"/>
      <c r="H293" s="120"/>
      <c r="I293" s="120"/>
      <c r="J293" s="126"/>
      <c r="K293" s="108"/>
      <c r="L293" s="108"/>
      <c r="M293" s="108"/>
      <c r="N293" s="108"/>
      <c r="O293" s="111"/>
      <c r="P293" s="111"/>
      <c r="Q293" s="111"/>
      <c r="R293" s="111"/>
      <c r="S293" s="111"/>
      <c r="T293" s="111"/>
      <c r="U293" s="111"/>
    </row>
    <row r="294" spans="2:21">
      <c r="B294" s="123"/>
      <c r="C294" s="120"/>
      <c r="D294" s="120"/>
      <c r="E294" s="120"/>
      <c r="F294" s="120"/>
      <c r="G294" s="120"/>
      <c r="H294" s="120"/>
      <c r="I294" s="120"/>
      <c r="J294" s="126"/>
      <c r="K294" s="108"/>
      <c r="L294" s="108"/>
      <c r="M294" s="108"/>
      <c r="N294" s="108"/>
      <c r="O294" s="111"/>
      <c r="P294" s="111"/>
      <c r="Q294" s="111"/>
      <c r="R294" s="111"/>
      <c r="S294" s="111"/>
      <c r="T294" s="111"/>
      <c r="U294" s="111"/>
    </row>
    <row r="295" spans="2:21">
      <c r="B295" s="115" t="s">
        <v>305</v>
      </c>
      <c r="C295" s="120"/>
      <c r="D295" s="120" t="s">
        <v>304</v>
      </c>
      <c r="E295" s="120"/>
      <c r="F295" s="120"/>
      <c r="G295" s="120"/>
      <c r="H295" s="120"/>
      <c r="I295" s="120"/>
      <c r="J295" s="126"/>
      <c r="K295" s="108"/>
      <c r="L295" s="108"/>
      <c r="M295" s="108"/>
      <c r="N295" s="108"/>
      <c r="O295" s="111"/>
      <c r="P295" s="111"/>
      <c r="Q295" s="111"/>
      <c r="R295" s="111"/>
      <c r="S295" s="111"/>
      <c r="T295" s="111"/>
      <c r="U295" s="111"/>
    </row>
    <row r="296" spans="2:21">
      <c r="B296" s="123"/>
      <c r="C296" s="120"/>
      <c r="D296" s="120"/>
      <c r="E296" s="120"/>
      <c r="F296" s="120"/>
      <c r="G296" s="120"/>
      <c r="H296" s="120"/>
      <c r="I296" s="120"/>
      <c r="J296" s="126"/>
      <c r="K296" s="108"/>
      <c r="L296" s="108"/>
      <c r="M296" s="108"/>
      <c r="N296" s="108"/>
      <c r="O296" s="111"/>
      <c r="P296" s="111"/>
      <c r="Q296" s="111"/>
      <c r="R296" s="111"/>
      <c r="S296" s="111"/>
      <c r="T296" s="111"/>
      <c r="U296" s="111"/>
    </row>
    <row r="297" spans="2:21">
      <c r="B297" s="115" t="s">
        <v>303</v>
      </c>
      <c r="C297" s="114"/>
      <c r="D297" s="119" t="s">
        <v>302</v>
      </c>
      <c r="E297" s="125"/>
      <c r="F297" s="125"/>
      <c r="G297" s="125"/>
      <c r="H297" s="125"/>
      <c r="I297" s="125"/>
      <c r="J297" s="124"/>
      <c r="K297" s="108"/>
      <c r="L297" s="108"/>
      <c r="M297" s="108"/>
      <c r="N297" s="108"/>
      <c r="O297" s="111"/>
      <c r="P297" s="111"/>
      <c r="Q297" s="111"/>
      <c r="R297" s="111"/>
      <c r="S297" s="111"/>
      <c r="T297" s="111"/>
      <c r="U297" s="111"/>
    </row>
    <row r="298" spans="2:21">
      <c r="B298" s="115"/>
      <c r="C298" s="114"/>
      <c r="D298" s="119" t="s">
        <v>301</v>
      </c>
      <c r="E298" s="125"/>
      <c r="F298" s="125"/>
      <c r="G298" s="125"/>
      <c r="H298" s="125"/>
      <c r="I298" s="125"/>
      <c r="J298" s="124"/>
      <c r="K298" s="108"/>
      <c r="L298" s="108"/>
      <c r="M298" s="108"/>
      <c r="N298" s="108"/>
      <c r="O298" s="111"/>
      <c r="P298" s="111"/>
      <c r="Q298" s="111"/>
      <c r="R298" s="111"/>
      <c r="S298" s="111"/>
      <c r="T298" s="111"/>
      <c r="U298" s="111"/>
    </row>
    <row r="299" spans="2:21">
      <c r="B299" s="115"/>
      <c r="C299" s="114"/>
      <c r="D299" s="119" t="s">
        <v>300</v>
      </c>
      <c r="E299" s="125"/>
      <c r="F299" s="125"/>
      <c r="G299" s="125"/>
      <c r="H299" s="125"/>
      <c r="I299" s="125"/>
      <c r="J299" s="124"/>
      <c r="K299" s="108"/>
      <c r="L299" s="108"/>
      <c r="M299" s="108"/>
      <c r="N299" s="108"/>
      <c r="O299" s="111"/>
      <c r="P299" s="111"/>
      <c r="Q299" s="111"/>
      <c r="R299" s="111"/>
      <c r="S299" s="111"/>
      <c r="T299" s="111"/>
      <c r="U299" s="111"/>
    </row>
    <row r="300" spans="2:21">
      <c r="B300" s="115"/>
      <c r="C300" s="114"/>
      <c r="D300" s="120" t="s">
        <v>299</v>
      </c>
      <c r="E300" s="125"/>
      <c r="F300" s="125"/>
      <c r="G300" s="125"/>
      <c r="H300" s="125"/>
      <c r="I300" s="125"/>
      <c r="J300" s="124"/>
      <c r="K300" s="108"/>
      <c r="L300" s="108"/>
      <c r="M300" s="108"/>
      <c r="N300" s="108"/>
      <c r="O300" s="111"/>
      <c r="P300" s="111"/>
      <c r="Q300" s="111"/>
      <c r="R300" s="111"/>
      <c r="S300" s="111"/>
      <c r="T300" s="111"/>
      <c r="U300" s="111"/>
    </row>
    <row r="301" spans="2:21">
      <c r="B301" s="115"/>
      <c r="C301" s="114"/>
      <c r="D301" s="120"/>
      <c r="E301" s="125"/>
      <c r="F301" s="125"/>
      <c r="G301" s="125"/>
      <c r="H301" s="125"/>
      <c r="I301" s="125"/>
      <c r="J301" s="124"/>
      <c r="K301" s="108"/>
      <c r="L301" s="108"/>
      <c r="M301" s="108"/>
      <c r="N301" s="108"/>
      <c r="O301" s="111"/>
      <c r="P301" s="111"/>
      <c r="Q301" s="111"/>
      <c r="R301" s="111"/>
      <c r="S301" s="111"/>
      <c r="T301" s="111"/>
      <c r="U301" s="111"/>
    </row>
    <row r="302" spans="2:21">
      <c r="B302" s="115" t="s">
        <v>298</v>
      </c>
      <c r="C302" s="114"/>
      <c r="D302" s="476" t="s">
        <v>297</v>
      </c>
      <c r="E302" s="474"/>
      <c r="F302" s="474"/>
      <c r="G302" s="474"/>
      <c r="H302" s="474"/>
      <c r="I302" s="474"/>
      <c r="J302" s="474"/>
      <c r="K302" s="108"/>
      <c r="L302" s="108"/>
      <c r="M302" s="108"/>
      <c r="N302" s="108"/>
      <c r="O302" s="111"/>
      <c r="P302" s="111"/>
      <c r="Q302" s="111"/>
      <c r="R302" s="111"/>
      <c r="S302" s="111"/>
      <c r="T302" s="111"/>
      <c r="U302" s="111"/>
    </row>
    <row r="303" spans="2:21">
      <c r="B303" s="115"/>
      <c r="C303" s="114"/>
      <c r="D303" s="120"/>
      <c r="E303" s="125"/>
      <c r="F303" s="125"/>
      <c r="G303" s="125"/>
      <c r="H303" s="125"/>
      <c r="I303" s="125"/>
      <c r="J303" s="124"/>
      <c r="K303" s="108"/>
      <c r="L303" s="108"/>
      <c r="M303" s="108"/>
      <c r="N303" s="108"/>
      <c r="O303" s="111"/>
      <c r="P303" s="111"/>
      <c r="Q303" s="111"/>
      <c r="R303" s="111"/>
      <c r="S303" s="111"/>
      <c r="T303" s="111"/>
      <c r="U303" s="111"/>
    </row>
    <row r="304" spans="2:21">
      <c r="B304" s="128" t="s">
        <v>296</v>
      </c>
      <c r="C304" s="114"/>
      <c r="D304" s="477" t="s">
        <v>295</v>
      </c>
      <c r="E304" s="474"/>
      <c r="F304" s="474"/>
      <c r="G304" s="474"/>
      <c r="H304" s="474"/>
      <c r="I304" s="474"/>
      <c r="J304" s="474"/>
      <c r="K304" s="108"/>
      <c r="L304" s="108"/>
      <c r="M304" s="108"/>
      <c r="N304" s="108"/>
      <c r="O304" s="111"/>
      <c r="P304" s="111"/>
      <c r="Q304" s="111"/>
      <c r="R304" s="111"/>
      <c r="S304" s="111"/>
      <c r="T304" s="111"/>
      <c r="U304" s="111"/>
    </row>
    <row r="305" spans="2:21">
      <c r="B305" s="128"/>
      <c r="C305" s="114"/>
      <c r="D305" s="474"/>
      <c r="E305" s="474"/>
      <c r="F305" s="474"/>
      <c r="G305" s="474"/>
      <c r="H305" s="474"/>
      <c r="I305" s="474"/>
      <c r="J305" s="474"/>
      <c r="K305" s="108"/>
      <c r="L305" s="108"/>
      <c r="M305" s="108"/>
      <c r="N305" s="108"/>
      <c r="O305" s="111"/>
      <c r="P305" s="111"/>
      <c r="Q305" s="111"/>
      <c r="R305" s="111"/>
      <c r="S305" s="111"/>
      <c r="T305" s="111"/>
      <c r="U305" s="111"/>
    </row>
    <row r="306" spans="2:21">
      <c r="B306" s="128"/>
      <c r="C306" s="114"/>
      <c r="D306" s="119"/>
      <c r="E306" s="120"/>
      <c r="F306" s="120"/>
      <c r="G306" s="120"/>
      <c r="H306" s="120"/>
      <c r="I306" s="120"/>
      <c r="J306" s="126"/>
      <c r="K306" s="108"/>
      <c r="L306" s="108"/>
      <c r="M306" s="108"/>
      <c r="N306" s="108"/>
      <c r="O306" s="111"/>
      <c r="P306" s="111"/>
      <c r="Q306" s="111"/>
      <c r="R306" s="111"/>
      <c r="S306" s="111"/>
      <c r="T306" s="111"/>
      <c r="U306" s="111"/>
    </row>
    <row r="307" spans="2:21">
      <c r="B307" s="115" t="s">
        <v>294</v>
      </c>
      <c r="C307" s="114"/>
      <c r="D307" s="119" t="s">
        <v>293</v>
      </c>
      <c r="E307" s="125"/>
      <c r="F307" s="125"/>
      <c r="G307" s="125"/>
      <c r="H307" s="125"/>
      <c r="I307" s="125"/>
      <c r="J307" s="124"/>
      <c r="K307" s="108"/>
      <c r="L307" s="108"/>
      <c r="M307" s="108"/>
      <c r="N307" s="108"/>
      <c r="O307" s="111"/>
      <c r="P307" s="111"/>
      <c r="Q307" s="111"/>
      <c r="R307" s="111"/>
      <c r="S307" s="111"/>
      <c r="T307" s="111"/>
      <c r="U307" s="111"/>
    </row>
    <row r="308" spans="2:21">
      <c r="B308" s="115"/>
      <c r="C308" s="114"/>
      <c r="D308" s="119" t="s">
        <v>292</v>
      </c>
      <c r="E308" s="125"/>
      <c r="F308" s="125"/>
      <c r="G308" s="125"/>
      <c r="H308" s="125"/>
      <c r="I308" s="125"/>
      <c r="J308" s="124"/>
      <c r="K308" s="108"/>
      <c r="L308" s="108"/>
      <c r="M308" s="108"/>
      <c r="N308" s="108"/>
      <c r="O308" s="111"/>
      <c r="P308" s="111"/>
      <c r="Q308" s="111"/>
      <c r="R308" s="111"/>
      <c r="S308" s="111"/>
      <c r="T308" s="111"/>
      <c r="U308" s="111"/>
    </row>
    <row r="309" spans="2:21">
      <c r="B309" s="115"/>
      <c r="C309" s="114"/>
      <c r="D309" s="119" t="s">
        <v>291</v>
      </c>
      <c r="E309" s="125"/>
      <c r="F309" s="125"/>
      <c r="G309" s="125"/>
      <c r="H309" s="125"/>
      <c r="I309" s="125"/>
      <c r="J309" s="124"/>
      <c r="K309" s="108"/>
      <c r="L309" s="108"/>
      <c r="M309" s="108"/>
      <c r="N309" s="108"/>
      <c r="O309" s="111"/>
      <c r="P309" s="111"/>
      <c r="Q309" s="111"/>
      <c r="R309" s="111"/>
      <c r="S309" s="111"/>
      <c r="T309" s="111"/>
      <c r="U309" s="111"/>
    </row>
    <row r="310" spans="2:21">
      <c r="B310" s="115"/>
      <c r="C310" s="114"/>
      <c r="D310" s="119" t="s">
        <v>290</v>
      </c>
      <c r="E310" s="125"/>
      <c r="F310" s="125"/>
      <c r="G310" s="125"/>
      <c r="H310" s="125"/>
      <c r="I310" s="125"/>
      <c r="J310" s="124"/>
      <c r="K310" s="108"/>
      <c r="L310" s="108"/>
      <c r="M310" s="108"/>
      <c r="N310" s="108"/>
      <c r="O310" s="111"/>
      <c r="P310" s="111"/>
      <c r="Q310" s="111"/>
      <c r="R310" s="111"/>
      <c r="S310" s="111"/>
      <c r="T310" s="111"/>
      <c r="U310" s="111"/>
    </row>
    <row r="311" spans="2:21">
      <c r="B311" s="115"/>
      <c r="C311" s="114"/>
      <c r="D311" s="119" t="s">
        <v>289</v>
      </c>
      <c r="E311" s="125"/>
      <c r="F311" s="125"/>
      <c r="G311" s="125"/>
      <c r="H311" s="125"/>
      <c r="I311" s="125"/>
      <c r="J311" s="124"/>
      <c r="K311" s="108"/>
      <c r="L311" s="108"/>
      <c r="M311" s="108"/>
      <c r="N311" s="108"/>
      <c r="O311" s="111"/>
      <c r="P311" s="111"/>
      <c r="Q311" s="111"/>
      <c r="R311" s="111"/>
      <c r="S311" s="111"/>
      <c r="T311" s="111"/>
      <c r="U311" s="111"/>
    </row>
    <row r="312" spans="2:21">
      <c r="B312" s="115"/>
      <c r="C312" s="114"/>
      <c r="D312" s="119" t="str">
        <f>"(ln "&amp;B163&amp;") multiplied by (1/1-T) .  If the applicable tax rates are zero enter 0."</f>
        <v>(ln 95) multiplied by (1/1-T) .  If the applicable tax rates are zero enter 0.</v>
      </c>
      <c r="E312" s="125"/>
      <c r="F312" s="125"/>
      <c r="G312" s="125"/>
      <c r="H312" s="125"/>
      <c r="I312" s="125"/>
      <c r="J312" s="124"/>
      <c r="K312" s="108"/>
      <c r="L312" s="108"/>
      <c r="M312" s="108"/>
      <c r="N312" s="108"/>
      <c r="O312" s="111"/>
      <c r="P312" s="111"/>
      <c r="Q312" s="111"/>
      <c r="R312" s="111"/>
      <c r="S312" s="111"/>
      <c r="T312" s="111"/>
      <c r="U312" s="111"/>
    </row>
    <row r="313" spans="2:21">
      <c r="B313" s="115" t="s">
        <v>288</v>
      </c>
      <c r="C313" s="114"/>
      <c r="D313" s="119" t="s">
        <v>287</v>
      </c>
      <c r="E313" s="125" t="s">
        <v>286</v>
      </c>
      <c r="F313" s="127">
        <f>+'[6]OKT Historic TCOS'!F326</f>
        <v>0.35</v>
      </c>
      <c r="G313" s="125"/>
      <c r="I313" s="125"/>
      <c r="J313" s="124"/>
      <c r="K313" s="108"/>
      <c r="L313" s="108"/>
      <c r="M313" s="108"/>
      <c r="N313" s="108"/>
      <c r="O313" s="111"/>
      <c r="P313" s="111"/>
      <c r="Q313" s="111"/>
      <c r="R313" s="111"/>
      <c r="S313" s="111"/>
      <c r="T313" s="111"/>
      <c r="U313" s="111"/>
    </row>
    <row r="314" spans="2:21">
      <c r="B314" s="115"/>
      <c r="C314" s="114"/>
      <c r="D314" s="119"/>
      <c r="E314" s="125" t="s">
        <v>285</v>
      </c>
      <c r="F314" s="127">
        <f>+'[6]OKT WS K State Taxes'!F18</f>
        <v>5.6599999999999998E-2</v>
      </c>
      <c r="G314" s="125" t="s">
        <v>284</v>
      </c>
      <c r="I314" s="125"/>
      <c r="J314" s="124"/>
      <c r="K314" s="108"/>
      <c r="L314" s="108"/>
      <c r="M314" s="108"/>
      <c r="N314" s="108"/>
      <c r="O314" s="111"/>
      <c r="P314" s="111"/>
      <c r="Q314" s="111"/>
      <c r="R314" s="111"/>
      <c r="S314" s="111"/>
      <c r="T314" s="111"/>
      <c r="U314" s="111"/>
    </row>
    <row r="315" spans="2:21">
      <c r="B315" s="115"/>
      <c r="C315" s="114"/>
      <c r="D315" s="119"/>
      <c r="E315" s="125" t="s">
        <v>283</v>
      </c>
      <c r="F315" s="127">
        <f>+'[6]OKT Historic TCOS'!F328</f>
        <v>0</v>
      </c>
      <c r="G315" s="125" t="s">
        <v>282</v>
      </c>
      <c r="I315" s="125"/>
      <c r="J315" s="124"/>
      <c r="K315" s="108"/>
      <c r="L315" s="108"/>
      <c r="M315" s="108"/>
      <c r="N315" s="108"/>
      <c r="O315" s="111"/>
      <c r="P315" s="111"/>
      <c r="Q315" s="111"/>
      <c r="R315" s="111"/>
      <c r="S315" s="111"/>
      <c r="T315" s="111"/>
      <c r="U315" s="111"/>
    </row>
    <row r="316" spans="2:21">
      <c r="B316" s="115"/>
      <c r="C316" s="114"/>
      <c r="D316" s="119"/>
      <c r="E316" s="125"/>
      <c r="F316" s="127"/>
      <c r="G316" s="125"/>
      <c r="I316" s="125"/>
      <c r="J316" s="124"/>
      <c r="K316" s="108"/>
      <c r="L316" s="108"/>
      <c r="M316" s="108"/>
      <c r="N316" s="108"/>
      <c r="O316" s="111"/>
      <c r="P316" s="111"/>
      <c r="Q316" s="111"/>
      <c r="R316" s="111"/>
      <c r="S316" s="111"/>
      <c r="T316" s="111"/>
      <c r="U316" s="111"/>
    </row>
    <row r="317" spans="2:21">
      <c r="B317" s="115" t="s">
        <v>281</v>
      </c>
      <c r="C317" s="114"/>
      <c r="D317" s="119" t="s">
        <v>280</v>
      </c>
      <c r="E317" s="125"/>
      <c r="F317" s="125"/>
      <c r="G317" s="127"/>
      <c r="H317" s="125"/>
      <c r="I317" s="125"/>
      <c r="J317" s="124"/>
      <c r="K317" s="108"/>
      <c r="L317" s="108"/>
      <c r="M317" s="108"/>
      <c r="N317" s="108"/>
      <c r="O317" s="111"/>
      <c r="P317" s="111"/>
      <c r="Q317" s="111"/>
      <c r="R317" s="111"/>
      <c r="S317" s="111"/>
      <c r="T317" s="111"/>
      <c r="U317" s="111"/>
    </row>
    <row r="318" spans="2:21">
      <c r="B318" s="115"/>
      <c r="C318" s="114"/>
      <c r="D318" s="119" t="s">
        <v>279</v>
      </c>
      <c r="E318" s="125"/>
      <c r="F318" s="125"/>
      <c r="G318" s="127"/>
      <c r="H318" s="125"/>
      <c r="I318" s="125"/>
      <c r="J318" s="124"/>
      <c r="K318" s="108"/>
      <c r="L318" s="108"/>
      <c r="M318" s="108"/>
      <c r="N318" s="108"/>
      <c r="O318" s="111"/>
      <c r="P318" s="111"/>
      <c r="Q318" s="111"/>
      <c r="R318" s="111"/>
      <c r="S318" s="111"/>
      <c r="T318" s="111"/>
      <c r="U318" s="111"/>
    </row>
    <row r="319" spans="2:21">
      <c r="B319" s="115"/>
      <c r="C319" s="114"/>
      <c r="D319" s="119"/>
      <c r="E319" s="125"/>
      <c r="F319" s="125"/>
      <c r="G319" s="127"/>
      <c r="H319" s="125"/>
      <c r="I319" s="125"/>
      <c r="J319" s="124"/>
      <c r="K319" s="108"/>
      <c r="L319" s="108"/>
      <c r="M319" s="108"/>
      <c r="N319" s="108"/>
      <c r="O319" s="111"/>
      <c r="P319" s="111"/>
      <c r="Q319" s="111"/>
      <c r="R319" s="111"/>
      <c r="S319" s="111"/>
      <c r="T319" s="111"/>
      <c r="U319" s="111"/>
    </row>
    <row r="320" spans="2:21">
      <c r="B320" s="115" t="s">
        <v>278</v>
      </c>
      <c r="C320" s="114"/>
      <c r="D320" s="119" t="s">
        <v>277</v>
      </c>
      <c r="E320" s="120"/>
      <c r="F320" s="120"/>
      <c r="G320" s="120"/>
      <c r="H320" s="120"/>
      <c r="I320" s="120"/>
      <c r="J320" s="126"/>
      <c r="K320" s="108"/>
      <c r="L320" s="108"/>
      <c r="M320" s="108"/>
      <c r="N320" s="108"/>
      <c r="O320" s="111"/>
      <c r="P320" s="111"/>
      <c r="Q320" s="111"/>
      <c r="R320" s="111"/>
      <c r="S320" s="111"/>
      <c r="T320" s="111"/>
      <c r="U320" s="111"/>
    </row>
    <row r="321" spans="2:21">
      <c r="B321" s="104"/>
      <c r="D321" s="119"/>
      <c r="E321" s="120"/>
      <c r="F321" s="120"/>
      <c r="G321" s="120"/>
      <c r="H321" s="120"/>
      <c r="I321" s="120"/>
      <c r="J321" s="126"/>
      <c r="K321" s="108"/>
      <c r="L321" s="108"/>
      <c r="M321" s="108"/>
      <c r="N321" s="108"/>
      <c r="O321" s="111"/>
      <c r="P321" s="111"/>
      <c r="Q321" s="111"/>
      <c r="R321" s="111"/>
      <c r="S321" s="111"/>
      <c r="T321" s="111"/>
      <c r="U321" s="111"/>
    </row>
    <row r="322" spans="2:21">
      <c r="B322" s="115" t="s">
        <v>276</v>
      </c>
      <c r="C322" s="114"/>
      <c r="D322" s="119" t="s">
        <v>275</v>
      </c>
      <c r="E322" s="120"/>
      <c r="F322" s="120"/>
      <c r="G322" s="120"/>
      <c r="H322" s="120"/>
      <c r="I322" s="120"/>
      <c r="J322" s="126"/>
      <c r="K322" s="108"/>
      <c r="L322" s="108"/>
      <c r="M322" s="108"/>
      <c r="N322" s="108"/>
      <c r="O322" s="111"/>
      <c r="P322" s="111"/>
      <c r="Q322" s="111"/>
      <c r="R322" s="111"/>
      <c r="S322" s="111"/>
      <c r="T322" s="111"/>
      <c r="U322" s="111"/>
    </row>
    <row r="323" spans="2:21">
      <c r="B323" s="115"/>
      <c r="C323" s="114"/>
      <c r="D323" s="119"/>
      <c r="E323" s="125"/>
      <c r="F323" s="125"/>
      <c r="G323" s="125"/>
      <c r="H323" s="125"/>
      <c r="I323" s="125"/>
      <c r="J323" s="124"/>
      <c r="K323" s="108"/>
      <c r="L323" s="108"/>
      <c r="M323" s="108"/>
      <c r="N323" s="108"/>
      <c r="O323" s="111"/>
      <c r="P323" s="111"/>
      <c r="Q323" s="111"/>
      <c r="R323" s="111"/>
      <c r="S323" s="111"/>
      <c r="T323" s="111"/>
      <c r="U323" s="111"/>
    </row>
    <row r="324" spans="2:21">
      <c r="B324" s="115" t="s">
        <v>274</v>
      </c>
      <c r="C324" s="114"/>
      <c r="D324" s="119" t="s">
        <v>273</v>
      </c>
      <c r="E324" s="125"/>
      <c r="F324" s="125"/>
      <c r="G324" s="125"/>
      <c r="H324" s="125"/>
      <c r="I324" s="125"/>
      <c r="J324" s="124"/>
      <c r="K324" s="108"/>
      <c r="L324" s="108"/>
      <c r="M324" s="108"/>
      <c r="N324" s="108"/>
      <c r="O324" s="111"/>
      <c r="P324" s="111"/>
      <c r="Q324" s="111"/>
      <c r="R324" s="111"/>
      <c r="S324" s="111"/>
      <c r="T324" s="111"/>
      <c r="U324" s="111"/>
    </row>
    <row r="325" spans="2:21">
      <c r="B325" s="115"/>
      <c r="C325" s="114"/>
      <c r="D325" s="119"/>
      <c r="E325" s="125"/>
      <c r="F325" s="125"/>
      <c r="G325" s="125"/>
      <c r="H325" s="125"/>
      <c r="I325" s="125"/>
      <c r="J325" s="124"/>
      <c r="K325" s="108"/>
      <c r="L325" s="108"/>
      <c r="M325" s="108"/>
      <c r="N325" s="108"/>
      <c r="O325" s="111"/>
      <c r="P325" s="111"/>
      <c r="Q325" s="111"/>
      <c r="R325" s="111"/>
      <c r="S325" s="111"/>
      <c r="T325" s="111"/>
      <c r="U325" s="111"/>
    </row>
    <row r="326" spans="2:21">
      <c r="B326" s="123" t="s">
        <v>272</v>
      </c>
      <c r="C326" s="122"/>
      <c r="D326" s="478" t="str">
        <f>"The Capital Structure of "&amp;F7&amp;" will be based on the Capital Structure of PSO until "&amp;F7&amp;" establishes a stand alond capital structure computed on Worksheet M for the Projected TCOS or Worksheet N for the True-up TCOS."</f>
        <v>The Capital Structure of AEP OKLAHOMA TRANSMISSION COMPANY, INC will be based on the Capital Structure of PSO until AEP OKLAHOMA TRANSMISSION COMPANY, INC establishes a stand alond capital structure computed on Worksheet M for the Projected TCOS or Worksheet N for the True-up TCOS.</v>
      </c>
      <c r="E326" s="478"/>
      <c r="F326" s="478"/>
      <c r="G326" s="478"/>
      <c r="H326" s="478"/>
      <c r="I326" s="478"/>
      <c r="J326" s="478"/>
      <c r="K326" s="478"/>
      <c r="L326" s="478"/>
      <c r="M326" s="108"/>
      <c r="N326" s="108"/>
      <c r="O326" s="111"/>
      <c r="P326" s="111"/>
      <c r="Q326" s="111"/>
      <c r="R326" s="111"/>
      <c r="S326" s="111"/>
      <c r="T326" s="111"/>
      <c r="U326" s="111"/>
    </row>
    <row r="327" spans="2:21">
      <c r="B327" s="121"/>
      <c r="C327" s="120"/>
      <c r="D327" s="478"/>
      <c r="E327" s="478"/>
      <c r="F327" s="478"/>
      <c r="G327" s="478"/>
      <c r="H327" s="478"/>
      <c r="I327" s="478"/>
      <c r="J327" s="478"/>
      <c r="K327" s="478"/>
      <c r="L327" s="478"/>
      <c r="M327" s="108"/>
      <c r="N327" s="108"/>
      <c r="O327" s="111"/>
      <c r="P327" s="111"/>
      <c r="Q327" s="111"/>
      <c r="R327" s="111"/>
      <c r="S327" s="111"/>
      <c r="T327" s="111"/>
      <c r="U327" s="111"/>
    </row>
    <row r="328" spans="2:21" ht="15" customHeight="1">
      <c r="B328" s="121"/>
      <c r="C328" s="120"/>
      <c r="D328" s="119" t="str">
        <f>"Long Term Debt cost rate = long-term interest (ln "&amp;B234&amp;") / long term debt (ln "&amp;B244&amp;").  Preferred Stock cost rate = preferred dividends (ln "&amp;B235&amp;") / preferred outstanding (ln "&amp;B245&amp;")."</f>
        <v>Long Term Debt cost rate = long-term interest (ln 139) / long term debt (ln 148).  Preferred Stock cost rate = preferred dividends (ln 140) / preferred outstanding (ln 149).</v>
      </c>
      <c r="M328" s="108"/>
      <c r="N328" s="108"/>
      <c r="O328" s="111"/>
      <c r="P328" s="111"/>
      <c r="Q328" s="111"/>
      <c r="R328" s="111"/>
      <c r="S328" s="111"/>
      <c r="T328" s="111"/>
      <c r="U328" s="111"/>
    </row>
    <row r="329" spans="2:21">
      <c r="B329" s="121"/>
      <c r="C329" s="120"/>
      <c r="D329" s="119" t="str">
        <f>"Common Stock cost rate (ROE) = "&amp;J246*100&amp;"%, the rate accepted by FERC in Docket Nos. ER07-1069 and ER10-355.  It includes an additional 50 basis points for remaining a member of the SPP RTO."</f>
        <v>Common Stock cost rate (ROE) = 11.2%, the rate accepted by FERC in Docket Nos. ER07-1069 and ER10-355.  It includes an additional 50 basis points for remaining a member of the SPP RTO.</v>
      </c>
      <c r="M329" s="108"/>
      <c r="N329" s="108"/>
      <c r="O329" s="111"/>
      <c r="P329" s="111"/>
      <c r="Q329" s="111"/>
      <c r="R329" s="111"/>
      <c r="S329" s="111"/>
      <c r="T329" s="111"/>
      <c r="U329" s="111"/>
    </row>
    <row r="330" spans="2:21">
      <c r="B330" s="121"/>
      <c r="C330" s="120"/>
      <c r="D330" s="119"/>
      <c r="J330" s="118"/>
      <c r="M330" s="108"/>
      <c r="N330" s="108"/>
      <c r="O330" s="111"/>
      <c r="P330" s="111"/>
      <c r="Q330" s="111"/>
      <c r="R330" s="111"/>
      <c r="S330" s="111"/>
      <c r="T330" s="111"/>
      <c r="U330" s="111"/>
    </row>
    <row r="331" spans="2:21" ht="15" customHeight="1">
      <c r="B331" s="117" t="s">
        <v>271</v>
      </c>
      <c r="C331" s="114"/>
      <c r="D331" s="473" t="str">
        <f>"Per Settlement, equity is limited to "&amp;E230*100&amp;"% of "&amp;F7&amp;"'s Capital Structure.  If the percentage of equity exceeds the cap, the excess is included in long term debt in the cap structure. This value can only change via an approved 205 or 206 filing. "</f>
        <v xml:space="preserve">Per Settlement, equity is limited to 50% of AEP OKLAHOMA TRANSMISSION COMPANY, INC's Capital Structure.  If the percentage of equity exceeds the cap, the excess is included in long term debt in the cap structure. This value can only change via an approved 205 or 206 filing. </v>
      </c>
      <c r="E331" s="474"/>
      <c r="F331" s="474"/>
      <c r="G331" s="474"/>
      <c r="H331" s="474"/>
      <c r="I331" s="474"/>
      <c r="J331" s="474"/>
      <c r="K331" s="474"/>
      <c r="L331" s="474"/>
      <c r="M331" s="108"/>
      <c r="N331" s="108"/>
      <c r="O331" s="111"/>
      <c r="P331" s="111"/>
      <c r="Q331" s="111"/>
      <c r="R331" s="111"/>
      <c r="S331" s="111"/>
      <c r="T331" s="111"/>
      <c r="U331" s="111"/>
    </row>
    <row r="332" spans="2:21">
      <c r="B332" s="115"/>
      <c r="C332" s="114"/>
      <c r="D332" s="474"/>
      <c r="E332" s="474"/>
      <c r="F332" s="474"/>
      <c r="G332" s="474"/>
      <c r="H332" s="474"/>
      <c r="I332" s="474"/>
      <c r="J332" s="474"/>
      <c r="K332" s="474"/>
      <c r="L332" s="474"/>
      <c r="M332" s="108"/>
      <c r="N332" s="108"/>
      <c r="O332" s="111"/>
      <c r="P332" s="111"/>
      <c r="Q332" s="111"/>
      <c r="R332" s="111"/>
      <c r="S332" s="111"/>
      <c r="T332" s="111"/>
      <c r="U332" s="111"/>
    </row>
    <row r="333" spans="2:21">
      <c r="B333" s="115"/>
      <c r="C333" s="114"/>
      <c r="M333" s="108"/>
      <c r="N333" s="108"/>
      <c r="O333" s="111"/>
      <c r="P333" s="111"/>
      <c r="Q333" s="111"/>
      <c r="R333" s="111"/>
      <c r="S333" s="111"/>
      <c r="T333" s="111"/>
      <c r="U333" s="111"/>
    </row>
    <row r="334" spans="2:21">
      <c r="B334" s="115"/>
      <c r="C334" s="114"/>
      <c r="M334" s="108"/>
      <c r="N334" s="108"/>
      <c r="O334" s="111"/>
      <c r="P334" s="111"/>
      <c r="Q334" s="111"/>
      <c r="R334" s="111"/>
      <c r="S334" s="111"/>
      <c r="T334" s="111"/>
      <c r="U334" s="111"/>
    </row>
    <row r="335" spans="2:21">
      <c r="B335" s="115"/>
      <c r="C335" s="114"/>
      <c r="M335" s="108"/>
      <c r="N335" s="108"/>
      <c r="O335" s="111"/>
      <c r="P335" s="111"/>
      <c r="Q335" s="111"/>
      <c r="R335" s="111"/>
      <c r="S335" s="111"/>
      <c r="T335" s="111"/>
      <c r="U335" s="111"/>
    </row>
    <row r="336" spans="2:21">
      <c r="B336" s="116"/>
      <c r="C336" s="116"/>
      <c r="D336" s="116"/>
      <c r="E336" s="116"/>
      <c r="F336" s="116"/>
      <c r="G336" s="116"/>
      <c r="H336" s="116"/>
      <c r="M336" s="108"/>
      <c r="N336" s="108"/>
      <c r="O336" s="111"/>
      <c r="P336" s="111"/>
      <c r="Q336" s="111"/>
      <c r="R336" s="111"/>
      <c r="S336" s="111"/>
      <c r="T336" s="111"/>
      <c r="U336" s="111"/>
    </row>
    <row r="337" spans="2:21">
      <c r="B337" s="108"/>
      <c r="C337" s="108"/>
      <c r="D337" s="108"/>
      <c r="E337" s="108"/>
      <c r="F337" s="108"/>
      <c r="G337" s="108"/>
      <c r="H337" s="108"/>
      <c r="M337" s="108"/>
      <c r="N337" s="108"/>
      <c r="O337" s="111"/>
      <c r="P337" s="111"/>
      <c r="Q337" s="111"/>
      <c r="R337" s="111"/>
      <c r="S337" s="111"/>
      <c r="T337" s="111"/>
      <c r="U337" s="111"/>
    </row>
    <row r="338" spans="2:21">
      <c r="B338" s="108"/>
      <c r="C338" s="108"/>
      <c r="M338" s="108"/>
      <c r="N338" s="108"/>
      <c r="O338" s="111"/>
      <c r="P338" s="111"/>
      <c r="Q338" s="111"/>
      <c r="R338" s="111"/>
      <c r="S338" s="111"/>
      <c r="T338" s="111"/>
      <c r="U338" s="111"/>
    </row>
    <row r="339" spans="2:21">
      <c r="B339" s="108"/>
      <c r="C339" s="108"/>
      <c r="M339" s="108"/>
      <c r="N339" s="108"/>
      <c r="O339" s="111"/>
      <c r="P339" s="111"/>
      <c r="Q339" s="111"/>
      <c r="R339" s="111"/>
      <c r="S339" s="111"/>
      <c r="T339" s="111"/>
      <c r="U339" s="111"/>
    </row>
    <row r="340" spans="2:21">
      <c r="B340" s="108"/>
      <c r="C340" s="108"/>
      <c r="D340" s="108"/>
      <c r="E340" s="108"/>
      <c r="F340" s="108"/>
      <c r="G340" s="108"/>
      <c r="H340" s="108"/>
      <c r="M340" s="108"/>
      <c r="N340" s="108"/>
      <c r="O340" s="111"/>
      <c r="P340" s="111"/>
      <c r="Q340" s="111"/>
      <c r="R340" s="111"/>
      <c r="S340" s="111"/>
      <c r="T340" s="111"/>
      <c r="U340" s="111"/>
    </row>
    <row r="341" spans="2:21">
      <c r="B341" s="108"/>
      <c r="C341" s="108"/>
      <c r="D341" s="108"/>
      <c r="E341" s="108"/>
      <c r="F341" s="108"/>
      <c r="G341" s="108"/>
      <c r="H341" s="108"/>
      <c r="M341" s="108"/>
      <c r="N341" s="108"/>
      <c r="O341" s="111"/>
      <c r="P341" s="111"/>
      <c r="Q341" s="111"/>
      <c r="R341" s="111"/>
      <c r="S341" s="111"/>
      <c r="T341" s="111"/>
      <c r="U341" s="111"/>
    </row>
    <row r="342" spans="2:21">
      <c r="B342" s="108"/>
      <c r="C342" s="108"/>
      <c r="D342" s="108"/>
      <c r="E342" s="108"/>
      <c r="F342" s="108"/>
      <c r="G342" s="108"/>
      <c r="H342" s="108"/>
      <c r="M342" s="108"/>
      <c r="N342" s="108"/>
      <c r="O342" s="111"/>
      <c r="P342" s="111"/>
      <c r="Q342" s="111"/>
      <c r="R342" s="111"/>
      <c r="S342" s="111"/>
      <c r="T342" s="111"/>
      <c r="U342" s="111"/>
    </row>
    <row r="343" spans="2:21">
      <c r="B343" s="108"/>
      <c r="C343" s="108"/>
      <c r="D343" s="108"/>
      <c r="E343" s="108"/>
      <c r="F343" s="108"/>
      <c r="G343" s="108"/>
      <c r="H343" s="108"/>
      <c r="M343" s="108"/>
      <c r="N343" s="108"/>
      <c r="O343" s="111"/>
      <c r="P343" s="111"/>
      <c r="Q343" s="111"/>
      <c r="R343" s="111"/>
      <c r="S343" s="111"/>
      <c r="T343" s="111"/>
      <c r="U343" s="111"/>
    </row>
    <row r="344" spans="2:21">
      <c r="B344" s="108"/>
      <c r="C344" s="108"/>
      <c r="D344" s="108"/>
      <c r="E344" s="108"/>
      <c r="F344" s="108"/>
      <c r="G344" s="108"/>
      <c r="H344" s="108"/>
      <c r="M344" s="108"/>
      <c r="N344" s="108"/>
      <c r="O344" s="111"/>
      <c r="P344" s="111"/>
      <c r="Q344" s="111"/>
      <c r="R344" s="111"/>
      <c r="S344" s="111"/>
      <c r="T344" s="111"/>
      <c r="U344" s="111"/>
    </row>
    <row r="345" spans="2:21">
      <c r="B345" s="108"/>
      <c r="C345" s="108"/>
      <c r="D345" s="108"/>
      <c r="E345" s="108"/>
      <c r="F345" s="108"/>
      <c r="G345" s="108"/>
      <c r="H345" s="108"/>
      <c r="M345" s="108"/>
      <c r="N345" s="108"/>
      <c r="O345" s="111"/>
      <c r="P345" s="111"/>
      <c r="Q345" s="111"/>
      <c r="R345" s="111"/>
      <c r="S345" s="111"/>
      <c r="T345" s="111"/>
      <c r="U345" s="111"/>
    </row>
    <row r="346" spans="2:21">
      <c r="B346" s="108"/>
      <c r="C346" s="108"/>
      <c r="D346" s="108"/>
      <c r="E346" s="108"/>
      <c r="F346" s="108"/>
      <c r="G346" s="108"/>
      <c r="H346" s="108"/>
      <c r="M346" s="108"/>
      <c r="N346" s="108"/>
      <c r="O346" s="111"/>
      <c r="P346" s="111"/>
      <c r="Q346" s="111"/>
      <c r="R346" s="111"/>
      <c r="S346" s="111"/>
      <c r="T346" s="111"/>
      <c r="U346" s="111"/>
    </row>
    <row r="347" spans="2:21">
      <c r="B347" s="115"/>
      <c r="C347" s="114"/>
      <c r="M347" s="108"/>
      <c r="N347" s="108"/>
      <c r="O347" s="111"/>
      <c r="P347" s="111"/>
      <c r="Q347" s="111"/>
      <c r="R347" s="111"/>
      <c r="S347" s="111"/>
      <c r="T347" s="111"/>
      <c r="U347" s="111"/>
    </row>
    <row r="348" spans="2:21">
      <c r="B348" s="104"/>
      <c r="M348" s="108"/>
      <c r="N348" s="108"/>
      <c r="O348" s="111"/>
      <c r="P348" s="111"/>
      <c r="Q348" s="111"/>
      <c r="R348" s="111"/>
      <c r="S348" s="111"/>
      <c r="T348" s="111"/>
      <c r="U348" s="111"/>
    </row>
    <row r="349" spans="2:21">
      <c r="B349" s="104"/>
      <c r="M349" s="108"/>
      <c r="N349" s="108"/>
      <c r="O349" s="111"/>
      <c r="P349" s="111"/>
      <c r="Q349" s="111"/>
      <c r="R349" s="111"/>
      <c r="S349" s="111"/>
      <c r="T349" s="111"/>
      <c r="U349" s="111"/>
    </row>
    <row r="350" spans="2:21">
      <c r="B350" s="104"/>
      <c r="M350" s="108"/>
      <c r="N350" s="108"/>
      <c r="O350" s="111"/>
      <c r="P350" s="111"/>
      <c r="Q350" s="111"/>
      <c r="R350" s="111"/>
      <c r="S350" s="111"/>
      <c r="T350" s="111"/>
      <c r="U350" s="111"/>
    </row>
    <row r="351" spans="2:21">
      <c r="B351" s="104"/>
      <c r="H351" s="111"/>
      <c r="I351" s="111"/>
      <c r="J351" s="111"/>
      <c r="K351" s="111"/>
      <c r="L351" s="111"/>
      <c r="M351" s="108"/>
      <c r="N351" s="108"/>
      <c r="O351" s="111"/>
      <c r="P351" s="111"/>
      <c r="Q351" s="111"/>
      <c r="R351" s="111"/>
      <c r="S351" s="111"/>
      <c r="T351" s="111"/>
      <c r="U351" s="111"/>
    </row>
    <row r="352" spans="2:21">
      <c r="B352" s="104"/>
      <c r="H352" s="111"/>
      <c r="K352" s="111"/>
      <c r="L352" s="111"/>
      <c r="M352" s="108"/>
      <c r="N352" s="108"/>
      <c r="O352" s="111"/>
      <c r="P352" s="111"/>
      <c r="Q352" s="111"/>
      <c r="R352" s="111"/>
      <c r="S352" s="111"/>
      <c r="T352" s="111"/>
      <c r="U352" s="111"/>
    </row>
    <row r="353" spans="2:21">
      <c r="B353" s="104"/>
      <c r="H353" s="111"/>
      <c r="I353" s="111" t="s">
        <v>270</v>
      </c>
      <c r="J353" s="109"/>
      <c r="K353" s="111"/>
      <c r="L353" s="111"/>
      <c r="M353" s="108"/>
      <c r="N353" s="108"/>
      <c r="O353" s="111"/>
      <c r="P353" s="111"/>
      <c r="Q353" s="111"/>
      <c r="R353" s="111"/>
      <c r="S353" s="111"/>
      <c r="T353" s="111"/>
      <c r="U353" s="111"/>
    </row>
    <row r="354" spans="2:21">
      <c r="B354" s="104"/>
      <c r="H354" s="111"/>
      <c r="I354" s="110" t="s">
        <v>269</v>
      </c>
      <c r="J354" s="109">
        <v>1</v>
      </c>
      <c r="K354" s="111"/>
      <c r="L354" s="111"/>
      <c r="M354" s="108"/>
      <c r="N354" s="108"/>
      <c r="O354" s="111"/>
      <c r="P354" s="111"/>
      <c r="Q354" s="111"/>
      <c r="R354" s="111"/>
      <c r="S354" s="111"/>
      <c r="T354" s="111"/>
      <c r="U354" s="111"/>
    </row>
    <row r="355" spans="2:21">
      <c r="B355" s="104"/>
      <c r="H355" s="111"/>
      <c r="I355" s="110" t="s">
        <v>268</v>
      </c>
      <c r="J355" s="109">
        <f>+$J$63</f>
        <v>0.93210214288667248</v>
      </c>
      <c r="K355" s="111"/>
      <c r="L355" s="111"/>
      <c r="M355" s="108"/>
      <c r="N355" s="108"/>
      <c r="O355" s="111"/>
      <c r="P355" s="111"/>
      <c r="Q355" s="111"/>
      <c r="R355" s="111"/>
      <c r="S355" s="111"/>
      <c r="T355" s="111"/>
      <c r="U355" s="111"/>
    </row>
    <row r="356" spans="2:21">
      <c r="B356" s="104"/>
      <c r="H356" s="111"/>
      <c r="I356" s="110" t="s">
        <v>267</v>
      </c>
      <c r="J356" s="109">
        <f>'OKT 2017 True-Up TCOS - 11.2%'!$J$64</f>
        <v>1</v>
      </c>
      <c r="K356" s="111"/>
      <c r="L356" s="111"/>
      <c r="M356" s="108"/>
      <c r="N356" s="108"/>
      <c r="O356" s="111"/>
      <c r="P356" s="111"/>
      <c r="Q356" s="111"/>
      <c r="R356" s="111"/>
      <c r="S356" s="111"/>
      <c r="T356" s="111"/>
      <c r="U356" s="111"/>
    </row>
    <row r="357" spans="2:21">
      <c r="B357" s="112"/>
      <c r="C357" s="111"/>
      <c r="D357" s="111"/>
      <c r="E357" s="111"/>
      <c r="F357" s="111"/>
      <c r="G357" s="111"/>
      <c r="H357" s="111"/>
      <c r="I357" s="110" t="s">
        <v>266</v>
      </c>
      <c r="J357" s="113">
        <v>0</v>
      </c>
      <c r="K357" s="111"/>
      <c r="L357" s="111"/>
      <c r="M357" s="108"/>
      <c r="N357" s="108"/>
      <c r="O357" s="111"/>
      <c r="P357" s="111"/>
      <c r="Q357" s="111"/>
      <c r="R357" s="111"/>
      <c r="S357" s="111"/>
      <c r="T357" s="111"/>
      <c r="U357" s="111"/>
    </row>
    <row r="358" spans="2:21">
      <c r="B358" s="112"/>
      <c r="C358" s="111"/>
      <c r="D358" s="111"/>
      <c r="E358" s="111"/>
      <c r="F358" s="111"/>
      <c r="G358" s="111"/>
      <c r="H358" s="111"/>
      <c r="I358" s="110" t="s">
        <v>265</v>
      </c>
      <c r="J358" s="109">
        <f>$J$83</f>
        <v>0.92880955981852253</v>
      </c>
      <c r="K358" s="111"/>
      <c r="L358" s="111"/>
      <c r="M358" s="108"/>
      <c r="N358" s="108"/>
      <c r="O358" s="111"/>
      <c r="P358" s="111"/>
      <c r="Q358" s="111"/>
      <c r="R358" s="111"/>
      <c r="S358" s="111"/>
      <c r="T358" s="111"/>
      <c r="U358" s="111"/>
    </row>
    <row r="359" spans="2:21">
      <c r="B359" s="112"/>
      <c r="C359" s="111"/>
      <c r="D359" s="111"/>
      <c r="E359" s="111"/>
      <c r="F359" s="111"/>
      <c r="G359" s="111"/>
      <c r="H359" s="111"/>
      <c r="I359" s="110" t="s">
        <v>264</v>
      </c>
      <c r="J359" s="109">
        <f>$L$201</f>
        <v>0.93210214288667259</v>
      </c>
      <c r="K359" s="111"/>
      <c r="L359" s="111"/>
      <c r="M359" s="108"/>
      <c r="N359" s="108"/>
      <c r="O359" s="111"/>
      <c r="P359" s="111"/>
      <c r="Q359" s="111"/>
      <c r="R359" s="111"/>
      <c r="S359" s="111"/>
      <c r="T359" s="111"/>
      <c r="U359" s="111"/>
    </row>
    <row r="360" spans="2:21">
      <c r="B360" s="107"/>
      <c r="C360" s="105"/>
      <c r="D360" s="105"/>
      <c r="E360" s="105"/>
      <c r="F360" s="105"/>
      <c r="G360" s="105"/>
      <c r="H360" s="105"/>
      <c r="I360" s="110" t="s">
        <v>263</v>
      </c>
      <c r="J360" s="109">
        <f>$J$68</f>
        <v>1</v>
      </c>
      <c r="K360" s="105"/>
      <c r="L360" s="105"/>
      <c r="M360" s="108"/>
      <c r="N360" s="108"/>
    </row>
    <row r="361" spans="2:21">
      <c r="B361" s="107"/>
      <c r="C361" s="105"/>
      <c r="D361" s="105"/>
      <c r="E361" s="105"/>
      <c r="F361" s="105"/>
      <c r="G361" s="105"/>
      <c r="H361" s="105"/>
      <c r="I361" s="110" t="s">
        <v>262</v>
      </c>
      <c r="J361" s="109">
        <f>$L$211</f>
        <v>0.9321021428866727</v>
      </c>
      <c r="K361" s="105"/>
      <c r="L361" s="105"/>
      <c r="M361" s="108"/>
      <c r="N361" s="108"/>
    </row>
    <row r="362" spans="2:21">
      <c r="B362" s="107"/>
      <c r="C362" s="105"/>
      <c r="D362" s="105"/>
      <c r="E362" s="105"/>
      <c r="F362" s="105"/>
      <c r="G362" s="105"/>
      <c r="H362" s="105"/>
      <c r="I362" s="105"/>
      <c r="J362" s="105"/>
      <c r="K362" s="105"/>
      <c r="L362" s="105"/>
      <c r="M362" s="108"/>
      <c r="N362" s="108"/>
    </row>
    <row r="363" spans="2:21">
      <c r="B363" s="107"/>
      <c r="C363" s="105"/>
      <c r="D363" s="105"/>
      <c r="E363" s="105"/>
      <c r="F363" s="105"/>
      <c r="G363" s="105"/>
      <c r="H363" s="105"/>
      <c r="I363" s="105"/>
      <c r="J363" s="105"/>
      <c r="K363" s="105"/>
      <c r="L363" s="105"/>
      <c r="M363" s="108"/>
      <c r="N363" s="108"/>
    </row>
    <row r="364" spans="2:21">
      <c r="B364" s="107"/>
      <c r="C364" s="105"/>
      <c r="D364" s="105"/>
      <c r="E364" s="105"/>
      <c r="F364" s="105"/>
      <c r="G364" s="105"/>
      <c r="H364" s="105"/>
      <c r="I364" s="105"/>
      <c r="J364" s="105"/>
      <c r="K364" s="105"/>
      <c r="L364" s="105"/>
      <c r="M364" s="108"/>
      <c r="N364" s="108"/>
    </row>
    <row r="365" spans="2:21">
      <c r="B365" s="107"/>
      <c r="C365" s="105"/>
      <c r="D365" s="105"/>
      <c r="E365" s="105"/>
      <c r="F365" s="105"/>
      <c r="G365" s="105"/>
      <c r="H365" s="105"/>
      <c r="I365" s="105"/>
      <c r="J365" s="105"/>
      <c r="K365" s="105"/>
      <c r="L365" s="105"/>
      <c r="M365" s="108"/>
      <c r="N365" s="108"/>
    </row>
    <row r="366" spans="2:21">
      <c r="B366" s="107"/>
      <c r="C366" s="105"/>
      <c r="D366" s="105"/>
      <c r="E366" s="105"/>
      <c r="F366" s="105"/>
      <c r="G366" s="105"/>
      <c r="H366" s="105"/>
      <c r="I366" s="105"/>
      <c r="J366" s="105"/>
      <c r="K366" s="105"/>
      <c r="L366" s="105"/>
      <c r="M366" s="108"/>
      <c r="N366" s="108"/>
    </row>
    <row r="367" spans="2:21">
      <c r="B367" s="107"/>
      <c r="C367" s="105"/>
      <c r="D367" s="105"/>
      <c r="E367" s="105"/>
      <c r="F367" s="105"/>
      <c r="G367" s="105"/>
      <c r="H367" s="105"/>
      <c r="I367" s="105"/>
      <c r="J367" s="105"/>
      <c r="K367" s="105"/>
      <c r="L367" s="105"/>
      <c r="M367" s="108"/>
      <c r="N367" s="108"/>
    </row>
    <row r="368" spans="2:21">
      <c r="B368" s="107"/>
      <c r="C368" s="105"/>
      <c r="D368" s="105"/>
      <c r="E368" s="105"/>
      <c r="F368" s="105"/>
      <c r="G368" s="105"/>
      <c r="H368" s="105"/>
      <c r="I368" s="105"/>
      <c r="J368" s="105"/>
      <c r="K368" s="105"/>
      <c r="L368" s="105"/>
      <c r="M368" s="108"/>
      <c r="N368" s="108"/>
    </row>
    <row r="369" spans="2:14">
      <c r="B369" s="107"/>
      <c r="C369" s="105"/>
      <c r="D369" s="105"/>
      <c r="E369" s="105"/>
      <c r="F369" s="105"/>
      <c r="G369" s="105"/>
      <c r="H369" s="105"/>
      <c r="I369" s="105"/>
      <c r="J369" s="105"/>
      <c r="K369" s="105"/>
      <c r="L369" s="105"/>
      <c r="M369" s="108"/>
      <c r="N369" s="108"/>
    </row>
    <row r="370" spans="2:14">
      <c r="B370" s="107"/>
      <c r="C370" s="105"/>
      <c r="D370" s="105"/>
      <c r="E370" s="105"/>
      <c r="F370" s="105"/>
      <c r="G370" s="105"/>
      <c r="H370" s="105"/>
      <c r="I370" s="105"/>
      <c r="J370" s="105"/>
      <c r="K370" s="105"/>
      <c r="L370" s="105"/>
      <c r="M370" s="108"/>
      <c r="N370" s="108"/>
    </row>
    <row r="371" spans="2:14">
      <c r="B371" s="107"/>
      <c r="C371" s="105"/>
      <c r="D371" s="105"/>
      <c r="E371" s="105"/>
      <c r="F371" s="105"/>
      <c r="G371" s="105"/>
      <c r="H371" s="105"/>
      <c r="I371" s="105"/>
      <c r="J371" s="105"/>
      <c r="K371" s="105"/>
      <c r="L371" s="105"/>
      <c r="M371" s="108"/>
      <c r="N371" s="108"/>
    </row>
    <row r="372" spans="2:14">
      <c r="B372" s="107"/>
      <c r="C372" s="105"/>
      <c r="D372" s="105"/>
      <c r="E372" s="105"/>
      <c r="F372" s="105"/>
      <c r="G372" s="105"/>
      <c r="H372" s="105"/>
      <c r="I372" s="105"/>
      <c r="J372" s="105"/>
      <c r="K372" s="105"/>
      <c r="L372" s="105"/>
      <c r="M372" s="108"/>
      <c r="N372" s="108"/>
    </row>
    <row r="373" spans="2:14">
      <c r="B373" s="107"/>
      <c r="C373" s="105"/>
      <c r="D373" s="105"/>
      <c r="E373" s="105"/>
      <c r="F373" s="105"/>
      <c r="G373" s="105"/>
      <c r="H373" s="105"/>
      <c r="I373" s="105"/>
      <c r="J373" s="105"/>
      <c r="K373" s="105"/>
      <c r="L373" s="105"/>
      <c r="M373" s="108"/>
      <c r="N373" s="108"/>
    </row>
    <row r="374" spans="2:14">
      <c r="B374" s="107"/>
      <c r="C374" s="105"/>
      <c r="D374" s="105"/>
      <c r="E374" s="105"/>
      <c r="F374" s="105"/>
      <c r="G374" s="105"/>
      <c r="H374" s="105"/>
      <c r="I374" s="105"/>
      <c r="J374" s="105"/>
      <c r="K374" s="105"/>
      <c r="L374" s="105"/>
      <c r="M374" s="108"/>
      <c r="N374" s="108"/>
    </row>
    <row r="375" spans="2:14">
      <c r="B375" s="107"/>
      <c r="C375" s="105"/>
      <c r="D375" s="105"/>
      <c r="E375" s="105"/>
      <c r="F375" s="105"/>
      <c r="G375" s="105"/>
      <c r="H375" s="105"/>
      <c r="I375" s="105"/>
      <c r="J375" s="105"/>
      <c r="K375" s="105"/>
      <c r="L375" s="105"/>
      <c r="M375" s="108"/>
      <c r="N375" s="108"/>
    </row>
    <row r="376" spans="2:14">
      <c r="B376" s="107"/>
      <c r="C376" s="105"/>
      <c r="D376" s="105"/>
      <c r="E376" s="105"/>
      <c r="F376" s="105"/>
      <c r="G376" s="105"/>
      <c r="H376" s="105"/>
      <c r="I376" s="105"/>
      <c r="J376" s="105"/>
      <c r="K376" s="105"/>
      <c r="L376" s="105"/>
      <c r="M376" s="108"/>
      <c r="N376" s="108"/>
    </row>
    <row r="377" spans="2:14">
      <c r="B377" s="107"/>
      <c r="C377" s="105"/>
      <c r="D377" s="105"/>
      <c r="E377" s="105"/>
      <c r="F377" s="105"/>
      <c r="G377" s="105"/>
      <c r="H377" s="105"/>
      <c r="I377" s="105"/>
      <c r="J377" s="105"/>
      <c r="K377" s="105"/>
      <c r="L377" s="105"/>
      <c r="M377" s="108"/>
      <c r="N377" s="108"/>
    </row>
    <row r="378" spans="2:14">
      <c r="B378" s="107"/>
      <c r="C378" s="105"/>
      <c r="D378" s="105"/>
      <c r="E378" s="105"/>
      <c r="F378" s="105"/>
      <c r="G378" s="105"/>
      <c r="H378" s="105"/>
      <c r="I378" s="105"/>
      <c r="J378" s="105"/>
      <c r="K378" s="105"/>
      <c r="L378" s="105"/>
      <c r="M378" s="108"/>
      <c r="N378" s="108"/>
    </row>
    <row r="379" spans="2:14">
      <c r="B379" s="107"/>
      <c r="C379" s="105"/>
      <c r="D379" s="105"/>
      <c r="E379" s="105"/>
      <c r="F379" s="105"/>
      <c r="G379" s="105"/>
      <c r="H379" s="105"/>
      <c r="I379" s="105"/>
      <c r="J379" s="105"/>
      <c r="K379" s="105"/>
      <c r="L379" s="105"/>
      <c r="M379" s="108"/>
      <c r="N379" s="108"/>
    </row>
    <row r="380" spans="2:14">
      <c r="B380" s="107"/>
      <c r="C380" s="105"/>
      <c r="D380" s="105"/>
      <c r="E380" s="105"/>
      <c r="F380" s="105"/>
      <c r="G380" s="105"/>
      <c r="H380" s="105"/>
      <c r="I380" s="105"/>
      <c r="J380" s="105"/>
      <c r="K380" s="105"/>
      <c r="L380" s="105"/>
      <c r="M380" s="108"/>
      <c r="N380" s="108"/>
    </row>
    <row r="381" spans="2:14">
      <c r="B381" s="107"/>
      <c r="C381" s="105"/>
      <c r="D381" s="105"/>
      <c r="E381" s="105"/>
      <c r="F381" s="105"/>
      <c r="G381" s="105"/>
      <c r="H381" s="105"/>
      <c r="I381" s="105"/>
      <c r="J381" s="105"/>
      <c r="K381" s="105"/>
      <c r="L381" s="105"/>
      <c r="M381" s="108"/>
      <c r="N381" s="108"/>
    </row>
    <row r="382" spans="2:14">
      <c r="B382" s="107"/>
      <c r="C382" s="105"/>
      <c r="D382" s="105"/>
      <c r="E382" s="105"/>
      <c r="F382" s="105"/>
      <c r="G382" s="105"/>
      <c r="H382" s="105"/>
      <c r="I382" s="105"/>
      <c r="J382" s="105"/>
      <c r="K382" s="105"/>
      <c r="L382" s="105"/>
      <c r="M382" s="108"/>
      <c r="N382" s="108"/>
    </row>
    <row r="383" spans="2:14">
      <c r="B383" s="107"/>
      <c r="C383" s="105"/>
      <c r="D383" s="105"/>
      <c r="E383" s="105"/>
      <c r="F383" s="105"/>
      <c r="G383" s="105"/>
      <c r="H383" s="105"/>
      <c r="I383" s="105"/>
      <c r="J383" s="105"/>
      <c r="K383" s="105"/>
      <c r="L383" s="105"/>
      <c r="M383" s="108"/>
      <c r="N383" s="108"/>
    </row>
    <row r="384" spans="2:14">
      <c r="B384" s="107"/>
      <c r="C384" s="105"/>
      <c r="D384" s="105"/>
      <c r="E384" s="105"/>
      <c r="F384" s="105"/>
      <c r="G384" s="105"/>
      <c r="H384" s="105"/>
      <c r="I384" s="105"/>
      <c r="J384" s="105"/>
      <c r="K384" s="105"/>
      <c r="L384" s="105"/>
      <c r="M384" s="108"/>
      <c r="N384" s="108"/>
    </row>
    <row r="385" spans="2:14">
      <c r="B385" s="107"/>
      <c r="C385" s="105"/>
      <c r="D385" s="105"/>
      <c r="E385" s="105"/>
      <c r="F385" s="105"/>
      <c r="G385" s="105"/>
      <c r="H385" s="105"/>
      <c r="I385" s="105"/>
      <c r="J385" s="105"/>
      <c r="K385" s="105"/>
      <c r="L385" s="105"/>
      <c r="M385" s="108"/>
      <c r="N385" s="108"/>
    </row>
    <row r="386" spans="2:14">
      <c r="B386" s="107"/>
      <c r="C386" s="105"/>
      <c r="D386" s="105"/>
      <c r="E386" s="105"/>
      <c r="F386" s="105"/>
      <c r="G386" s="105"/>
      <c r="H386" s="105"/>
      <c r="I386" s="105"/>
      <c r="J386" s="105"/>
      <c r="K386" s="105"/>
      <c r="L386" s="105"/>
      <c r="M386" s="108"/>
      <c r="N386" s="108"/>
    </row>
    <row r="387" spans="2:14">
      <c r="B387" s="107"/>
      <c r="C387" s="105"/>
      <c r="D387" s="105"/>
      <c r="E387" s="105"/>
      <c r="F387" s="105"/>
      <c r="G387" s="105"/>
      <c r="H387" s="105"/>
      <c r="I387" s="105"/>
      <c r="J387" s="105"/>
      <c r="K387" s="105"/>
      <c r="L387" s="105"/>
      <c r="M387" s="108"/>
      <c r="N387" s="108"/>
    </row>
    <row r="388" spans="2:14">
      <c r="B388" s="107"/>
      <c r="C388" s="105"/>
      <c r="D388" s="105"/>
      <c r="E388" s="105"/>
      <c r="F388" s="105"/>
      <c r="G388" s="105"/>
      <c r="H388" s="105"/>
      <c r="I388" s="105"/>
      <c r="J388" s="105"/>
      <c r="K388" s="105"/>
      <c r="L388" s="105"/>
      <c r="M388" s="108"/>
      <c r="N388" s="108"/>
    </row>
    <row r="389" spans="2:14">
      <c r="B389" s="107"/>
      <c r="C389" s="105"/>
      <c r="D389" s="105"/>
      <c r="E389" s="105"/>
      <c r="F389" s="105"/>
      <c r="G389" s="105"/>
      <c r="H389" s="105"/>
      <c r="I389" s="105"/>
      <c r="J389" s="105"/>
      <c r="K389" s="105"/>
      <c r="L389" s="105"/>
      <c r="M389" s="108"/>
      <c r="N389" s="108"/>
    </row>
    <row r="390" spans="2:14">
      <c r="B390" s="107"/>
      <c r="C390" s="105"/>
      <c r="D390" s="105"/>
      <c r="E390" s="105"/>
      <c r="F390" s="105"/>
      <c r="G390" s="105"/>
      <c r="H390" s="105"/>
      <c r="I390" s="105"/>
      <c r="J390" s="105"/>
      <c r="K390" s="105"/>
      <c r="L390" s="105"/>
      <c r="M390" s="108"/>
      <c r="N390" s="108"/>
    </row>
    <row r="391" spans="2:14">
      <c r="B391" s="107"/>
      <c r="C391" s="105"/>
      <c r="D391" s="105"/>
      <c r="E391" s="105"/>
      <c r="F391" s="105"/>
      <c r="G391" s="105"/>
      <c r="H391" s="105"/>
      <c r="I391" s="105"/>
      <c r="J391" s="105"/>
      <c r="K391" s="105"/>
      <c r="L391" s="105"/>
      <c r="M391" s="108"/>
      <c r="N391" s="108"/>
    </row>
    <row r="392" spans="2:14">
      <c r="B392" s="107"/>
      <c r="C392" s="105"/>
      <c r="D392" s="105"/>
      <c r="E392" s="105"/>
      <c r="F392" s="105"/>
      <c r="G392" s="105"/>
      <c r="H392" s="105"/>
      <c r="I392" s="105"/>
      <c r="J392" s="105"/>
      <c r="K392" s="105"/>
      <c r="L392" s="105"/>
      <c r="M392" s="108"/>
      <c r="N392" s="108"/>
    </row>
    <row r="393" spans="2:14">
      <c r="B393" s="107"/>
      <c r="C393" s="105"/>
      <c r="D393" s="105"/>
      <c r="E393" s="105"/>
      <c r="F393" s="105"/>
      <c r="G393" s="105"/>
      <c r="H393" s="105"/>
      <c r="I393" s="105"/>
      <c r="J393" s="105"/>
      <c r="K393" s="105"/>
      <c r="L393" s="105"/>
      <c r="M393" s="108"/>
      <c r="N393" s="108"/>
    </row>
    <row r="394" spans="2:14">
      <c r="B394" s="107"/>
      <c r="C394" s="105"/>
      <c r="D394" s="105"/>
      <c r="E394" s="105"/>
      <c r="F394" s="105"/>
      <c r="G394" s="105"/>
      <c r="H394" s="105"/>
      <c r="I394" s="105"/>
      <c r="J394" s="105"/>
      <c r="K394" s="105"/>
      <c r="L394" s="105"/>
      <c r="M394" s="108"/>
      <c r="N394" s="108"/>
    </row>
    <row r="395" spans="2:14">
      <c r="B395" s="107"/>
      <c r="C395" s="105"/>
      <c r="D395" s="105"/>
      <c r="E395" s="105"/>
      <c r="F395" s="105"/>
      <c r="G395" s="105"/>
      <c r="H395" s="105"/>
      <c r="I395" s="105"/>
      <c r="J395" s="105"/>
      <c r="K395" s="105"/>
      <c r="L395" s="105"/>
      <c r="M395" s="108"/>
      <c r="N395" s="108"/>
    </row>
    <row r="396" spans="2:14">
      <c r="B396" s="107"/>
      <c r="C396" s="105"/>
      <c r="D396" s="105"/>
      <c r="E396" s="105"/>
      <c r="F396" s="105"/>
      <c r="G396" s="105"/>
      <c r="H396" s="105"/>
      <c r="I396" s="105"/>
      <c r="J396" s="105"/>
      <c r="K396" s="105"/>
      <c r="L396" s="105"/>
      <c r="M396" s="108"/>
      <c r="N396" s="108"/>
    </row>
    <row r="397" spans="2:14">
      <c r="B397" s="107"/>
      <c r="C397" s="105"/>
      <c r="D397" s="105"/>
      <c r="E397" s="105"/>
      <c r="F397" s="105"/>
      <c r="G397" s="105"/>
      <c r="H397" s="105"/>
      <c r="I397" s="105"/>
      <c r="J397" s="105"/>
      <c r="K397" s="105"/>
      <c r="L397" s="105"/>
      <c r="M397" s="108"/>
      <c r="N397" s="108"/>
    </row>
    <row r="398" spans="2:14">
      <c r="B398" s="107"/>
      <c r="C398" s="105"/>
      <c r="D398" s="105"/>
      <c r="E398" s="105"/>
      <c r="F398" s="105"/>
      <c r="G398" s="105"/>
      <c r="H398" s="105"/>
      <c r="I398" s="105"/>
      <c r="J398" s="105"/>
      <c r="K398" s="105"/>
      <c r="L398" s="105"/>
      <c r="M398" s="108"/>
      <c r="N398" s="108"/>
    </row>
    <row r="399" spans="2:14">
      <c r="B399" s="107"/>
      <c r="C399" s="105"/>
      <c r="D399" s="105"/>
      <c r="E399" s="105"/>
      <c r="F399" s="105"/>
      <c r="G399" s="105"/>
      <c r="H399" s="105"/>
      <c r="I399" s="105"/>
      <c r="J399" s="105"/>
      <c r="K399" s="105"/>
      <c r="L399" s="105"/>
      <c r="M399" s="108"/>
      <c r="N399" s="108"/>
    </row>
    <row r="400" spans="2:14">
      <c r="B400" s="107"/>
      <c r="C400" s="105"/>
      <c r="D400" s="105"/>
      <c r="E400" s="105"/>
      <c r="F400" s="105"/>
      <c r="G400" s="105"/>
      <c r="H400" s="105"/>
      <c r="I400" s="105"/>
      <c r="J400" s="105"/>
      <c r="K400" s="105"/>
      <c r="L400" s="105"/>
      <c r="M400" s="108"/>
      <c r="N400" s="108"/>
    </row>
    <row r="401" spans="2:14">
      <c r="B401" s="107"/>
      <c r="C401" s="105"/>
      <c r="D401" s="105"/>
      <c r="E401" s="105"/>
      <c r="F401" s="105"/>
      <c r="G401" s="105"/>
      <c r="H401" s="105"/>
      <c r="I401" s="105"/>
      <c r="J401" s="105"/>
      <c r="K401" s="105"/>
      <c r="L401" s="105"/>
      <c r="M401" s="108"/>
      <c r="N401" s="108"/>
    </row>
    <row r="402" spans="2:14">
      <c r="B402" s="107"/>
      <c r="C402" s="105"/>
      <c r="D402" s="105"/>
      <c r="E402" s="105"/>
      <c r="F402" s="105"/>
      <c r="G402" s="105"/>
      <c r="H402" s="105"/>
      <c r="I402" s="105"/>
      <c r="J402" s="105"/>
      <c r="K402" s="105"/>
      <c r="L402" s="105"/>
      <c r="M402" s="108"/>
      <c r="N402" s="108"/>
    </row>
    <row r="403" spans="2:14">
      <c r="B403" s="107"/>
      <c r="C403" s="105"/>
      <c r="D403" s="105"/>
      <c r="E403" s="105"/>
      <c r="F403" s="105"/>
      <c r="G403" s="105"/>
      <c r="H403" s="105"/>
      <c r="I403" s="105"/>
      <c r="J403" s="105"/>
      <c r="K403" s="105"/>
      <c r="L403" s="105"/>
      <c r="M403" s="108"/>
      <c r="N403" s="108"/>
    </row>
    <row r="404" spans="2:14">
      <c r="B404" s="107"/>
      <c r="C404" s="105"/>
      <c r="D404" s="105"/>
      <c r="E404" s="105"/>
      <c r="F404" s="105"/>
      <c r="G404" s="105"/>
      <c r="H404" s="105"/>
      <c r="I404" s="105"/>
      <c r="J404" s="105"/>
      <c r="K404" s="105"/>
      <c r="L404" s="105"/>
      <c r="M404" s="108"/>
      <c r="N404" s="108"/>
    </row>
    <row r="405" spans="2:14">
      <c r="B405" s="107"/>
      <c r="C405" s="105"/>
      <c r="D405" s="105"/>
      <c r="E405" s="105"/>
      <c r="F405" s="105"/>
      <c r="G405" s="105"/>
      <c r="H405" s="105"/>
      <c r="I405" s="105"/>
      <c r="J405" s="105"/>
      <c r="K405" s="105"/>
      <c r="L405" s="105"/>
      <c r="M405" s="108"/>
      <c r="N405" s="108"/>
    </row>
    <row r="406" spans="2:14">
      <c r="B406" s="107"/>
      <c r="C406" s="105"/>
      <c r="D406" s="105"/>
      <c r="E406" s="105"/>
      <c r="F406" s="105"/>
      <c r="G406" s="105"/>
      <c r="H406" s="105"/>
      <c r="I406" s="105"/>
      <c r="J406" s="105"/>
      <c r="K406" s="105"/>
      <c r="L406" s="105"/>
      <c r="M406" s="108"/>
      <c r="N406" s="108"/>
    </row>
    <row r="407" spans="2:14">
      <c r="B407" s="107"/>
      <c r="C407" s="105"/>
      <c r="D407" s="105"/>
      <c r="E407" s="105"/>
      <c r="F407" s="105"/>
      <c r="G407" s="105"/>
      <c r="H407" s="105"/>
      <c r="I407" s="105"/>
      <c r="J407" s="105"/>
      <c r="K407" s="105"/>
      <c r="L407" s="105"/>
      <c r="M407" s="108"/>
      <c r="N407" s="108"/>
    </row>
    <row r="408" spans="2:14">
      <c r="B408" s="107"/>
      <c r="C408" s="105"/>
      <c r="D408" s="105"/>
      <c r="E408" s="105"/>
      <c r="F408" s="105"/>
      <c r="G408" s="105"/>
      <c r="H408" s="105"/>
      <c r="I408" s="105"/>
      <c r="J408" s="105"/>
      <c r="K408" s="105"/>
      <c r="L408" s="105"/>
      <c r="M408" s="108"/>
      <c r="N408" s="108"/>
    </row>
    <row r="409" spans="2:14">
      <c r="B409" s="107"/>
      <c r="C409" s="105"/>
      <c r="D409" s="105"/>
      <c r="E409" s="105"/>
      <c r="F409" s="105"/>
      <c r="G409" s="105"/>
      <c r="H409" s="105"/>
      <c r="I409" s="105"/>
      <c r="J409" s="105"/>
      <c r="K409" s="105"/>
      <c r="L409" s="105"/>
      <c r="M409" s="108"/>
      <c r="N409" s="108"/>
    </row>
    <row r="410" spans="2:14">
      <c r="B410" s="107"/>
      <c r="C410" s="105"/>
      <c r="D410" s="105"/>
      <c r="E410" s="105"/>
      <c r="F410" s="105"/>
      <c r="G410" s="105"/>
      <c r="H410" s="105"/>
      <c r="I410" s="105"/>
      <c r="J410" s="105"/>
      <c r="K410" s="105"/>
      <c r="L410" s="105"/>
      <c r="M410" s="108"/>
      <c r="N410" s="108"/>
    </row>
    <row r="411" spans="2:14">
      <c r="B411" s="107"/>
      <c r="C411" s="105"/>
      <c r="D411" s="105"/>
      <c r="E411" s="105"/>
      <c r="F411" s="105"/>
      <c r="G411" s="105"/>
      <c r="H411" s="105"/>
      <c r="I411" s="105"/>
      <c r="J411" s="105"/>
      <c r="K411" s="105"/>
      <c r="L411" s="105"/>
      <c r="M411" s="108"/>
      <c r="N411" s="108"/>
    </row>
    <row r="412" spans="2:14">
      <c r="B412" s="107"/>
      <c r="C412" s="105"/>
      <c r="D412" s="105"/>
      <c r="E412" s="105"/>
      <c r="F412" s="105"/>
      <c r="G412" s="105"/>
      <c r="H412" s="105"/>
      <c r="I412" s="105"/>
      <c r="J412" s="105"/>
      <c r="K412" s="105"/>
      <c r="L412" s="105"/>
      <c r="M412" s="108"/>
      <c r="N412" s="108"/>
    </row>
    <row r="413" spans="2:14">
      <c r="B413" s="107"/>
      <c r="C413" s="105"/>
      <c r="D413" s="105"/>
      <c r="E413" s="105"/>
      <c r="F413" s="105"/>
      <c r="G413" s="105"/>
      <c r="H413" s="105"/>
      <c r="I413" s="105"/>
      <c r="J413" s="105"/>
      <c r="K413" s="105"/>
      <c r="L413" s="105"/>
      <c r="M413" s="108"/>
      <c r="N413" s="108"/>
    </row>
    <row r="414" spans="2:14">
      <c r="B414" s="107"/>
      <c r="C414" s="105"/>
      <c r="D414" s="105"/>
      <c r="E414" s="105"/>
      <c r="F414" s="105"/>
      <c r="G414" s="105"/>
      <c r="H414" s="105"/>
      <c r="I414" s="105"/>
      <c r="J414" s="105"/>
      <c r="K414" s="105"/>
      <c r="L414" s="105"/>
      <c r="M414" s="108"/>
      <c r="N414" s="108"/>
    </row>
    <row r="415" spans="2:14">
      <c r="B415" s="107"/>
      <c r="C415" s="105"/>
      <c r="D415" s="105"/>
      <c r="E415" s="105"/>
      <c r="F415" s="105"/>
      <c r="G415" s="105"/>
      <c r="H415" s="105"/>
      <c r="I415" s="105"/>
      <c r="J415" s="105"/>
      <c r="K415" s="105"/>
      <c r="L415" s="105"/>
      <c r="M415" s="108"/>
      <c r="N415" s="108"/>
    </row>
    <row r="416" spans="2:14">
      <c r="B416" s="107"/>
      <c r="C416" s="105"/>
      <c r="D416" s="105"/>
      <c r="E416" s="105"/>
      <c r="F416" s="105"/>
      <c r="G416" s="105"/>
      <c r="H416" s="105"/>
      <c r="I416" s="105"/>
      <c r="J416" s="105"/>
      <c r="K416" s="105"/>
      <c r="L416" s="105"/>
      <c r="M416" s="108"/>
      <c r="N416" s="108"/>
    </row>
    <row r="417" spans="2:14">
      <c r="B417" s="107"/>
      <c r="C417" s="105"/>
      <c r="D417" s="105"/>
      <c r="E417" s="105"/>
      <c r="F417" s="105"/>
      <c r="G417" s="105"/>
      <c r="H417" s="105"/>
      <c r="I417" s="105"/>
      <c r="J417" s="105"/>
      <c r="K417" s="105"/>
      <c r="L417" s="105"/>
      <c r="M417" s="108"/>
      <c r="N417" s="108"/>
    </row>
    <row r="418" spans="2:14">
      <c r="B418" s="107"/>
      <c r="C418" s="105"/>
      <c r="D418" s="105"/>
      <c r="E418" s="105"/>
      <c r="F418" s="105"/>
      <c r="G418" s="105"/>
      <c r="H418" s="105"/>
      <c r="I418" s="105"/>
      <c r="J418" s="105"/>
      <c r="K418" s="105"/>
      <c r="L418" s="105"/>
      <c r="M418" s="108"/>
      <c r="N418" s="108"/>
    </row>
    <row r="419" spans="2:14">
      <c r="B419" s="107"/>
      <c r="C419" s="105"/>
      <c r="D419" s="105"/>
      <c r="E419" s="105"/>
      <c r="F419" s="105"/>
      <c r="G419" s="105"/>
      <c r="H419" s="105"/>
      <c r="I419" s="105"/>
      <c r="J419" s="105"/>
      <c r="K419" s="105"/>
      <c r="L419" s="105"/>
      <c r="M419" s="108"/>
      <c r="N419" s="108"/>
    </row>
    <row r="420" spans="2:14">
      <c r="B420" s="107"/>
      <c r="C420" s="105"/>
      <c r="D420" s="105"/>
      <c r="E420" s="105"/>
      <c r="F420" s="105"/>
      <c r="G420" s="105"/>
      <c r="H420" s="105"/>
      <c r="I420" s="105"/>
      <c r="J420" s="105"/>
      <c r="K420" s="105"/>
      <c r="L420" s="105"/>
      <c r="M420" s="108"/>
      <c r="N420" s="108"/>
    </row>
    <row r="421" spans="2:14">
      <c r="B421" s="107"/>
      <c r="C421" s="105"/>
      <c r="D421" s="105"/>
      <c r="E421" s="105"/>
      <c r="F421" s="105"/>
      <c r="G421" s="105"/>
      <c r="H421" s="105"/>
      <c r="I421" s="105"/>
      <c r="J421" s="105"/>
      <c r="K421" s="105"/>
      <c r="L421" s="105"/>
      <c r="M421" s="108"/>
      <c r="N421" s="108"/>
    </row>
    <row r="422" spans="2:14">
      <c r="B422" s="107"/>
      <c r="C422" s="105"/>
      <c r="D422" s="105"/>
      <c r="E422" s="105"/>
      <c r="F422" s="105"/>
      <c r="G422" s="105"/>
      <c r="H422" s="105"/>
      <c r="I422" s="105"/>
      <c r="J422" s="105"/>
      <c r="K422" s="105"/>
      <c r="L422" s="105"/>
      <c r="M422" s="108"/>
      <c r="N422" s="108"/>
    </row>
    <row r="423" spans="2:14">
      <c r="B423" s="107"/>
      <c r="C423" s="105"/>
      <c r="D423" s="105"/>
      <c r="E423" s="105"/>
      <c r="F423" s="105"/>
      <c r="G423" s="105"/>
      <c r="H423" s="105"/>
      <c r="I423" s="105"/>
      <c r="J423" s="105"/>
      <c r="K423" s="105"/>
      <c r="L423" s="105"/>
      <c r="M423" s="108"/>
      <c r="N423" s="108"/>
    </row>
    <row r="424" spans="2:14">
      <c r="B424" s="107"/>
      <c r="C424" s="105"/>
      <c r="D424" s="105"/>
      <c r="E424" s="105"/>
      <c r="F424" s="105"/>
      <c r="G424" s="105"/>
      <c r="H424" s="105"/>
      <c r="I424" s="105"/>
      <c r="J424" s="105"/>
      <c r="K424" s="105"/>
      <c r="L424" s="105"/>
      <c r="M424" s="108"/>
      <c r="N424" s="108"/>
    </row>
    <row r="425" spans="2:14">
      <c r="B425" s="107"/>
      <c r="C425" s="105"/>
      <c r="D425" s="105"/>
      <c r="E425" s="105"/>
      <c r="F425" s="105"/>
      <c r="G425" s="105"/>
      <c r="H425" s="105"/>
      <c r="I425" s="105"/>
      <c r="J425" s="105"/>
      <c r="K425" s="105"/>
      <c r="L425" s="105"/>
      <c r="M425" s="108"/>
      <c r="N425" s="108"/>
    </row>
    <row r="426" spans="2:14">
      <c r="B426" s="107"/>
      <c r="C426" s="105"/>
      <c r="D426" s="105"/>
      <c r="E426" s="105"/>
      <c r="F426" s="105"/>
      <c r="G426" s="105"/>
      <c r="H426" s="105"/>
      <c r="I426" s="105"/>
      <c r="J426" s="105"/>
      <c r="K426" s="105"/>
      <c r="L426" s="105"/>
      <c r="M426" s="108"/>
      <c r="N426" s="108"/>
    </row>
    <row r="427" spans="2:14">
      <c r="B427" s="107"/>
      <c r="C427" s="105"/>
      <c r="D427" s="105"/>
      <c r="E427" s="105"/>
      <c r="F427" s="105"/>
      <c r="G427" s="105"/>
      <c r="H427" s="105"/>
      <c r="I427" s="105"/>
      <c r="J427" s="105"/>
      <c r="K427" s="105"/>
      <c r="L427" s="105"/>
      <c r="M427" s="108"/>
      <c r="N427" s="108"/>
    </row>
    <row r="428" spans="2:14">
      <c r="B428" s="107"/>
      <c r="C428" s="105"/>
      <c r="D428" s="105"/>
      <c r="E428" s="105"/>
      <c r="F428" s="105"/>
      <c r="G428" s="105"/>
      <c r="H428" s="105"/>
      <c r="I428" s="105"/>
      <c r="J428" s="105"/>
      <c r="K428" s="105"/>
      <c r="L428" s="105"/>
      <c r="M428" s="108"/>
      <c r="N428" s="108"/>
    </row>
    <row r="429" spans="2:14">
      <c r="B429" s="107"/>
      <c r="C429" s="105"/>
      <c r="D429" s="105"/>
      <c r="E429" s="105"/>
      <c r="F429" s="105"/>
      <c r="G429" s="105"/>
      <c r="H429" s="105"/>
      <c r="I429" s="105"/>
      <c r="J429" s="105"/>
      <c r="K429" s="105"/>
      <c r="L429" s="105"/>
      <c r="M429" s="108"/>
      <c r="N429" s="108"/>
    </row>
    <row r="430" spans="2:14">
      <c r="B430" s="107"/>
      <c r="C430" s="105"/>
      <c r="D430" s="105"/>
      <c r="E430" s="105"/>
      <c r="F430" s="105"/>
      <c r="G430" s="105"/>
      <c r="H430" s="105"/>
      <c r="I430" s="105"/>
      <c r="J430" s="105"/>
      <c r="K430" s="105"/>
      <c r="L430" s="105"/>
      <c r="M430" s="108"/>
      <c r="N430" s="108"/>
    </row>
    <row r="431" spans="2:14">
      <c r="B431" s="107"/>
      <c r="C431" s="105"/>
      <c r="D431" s="105"/>
      <c r="E431" s="105"/>
      <c r="F431" s="105"/>
      <c r="G431" s="105"/>
      <c r="H431" s="105"/>
      <c r="I431" s="105"/>
      <c r="J431" s="105"/>
      <c r="K431" s="105"/>
      <c r="L431" s="105"/>
      <c r="M431" s="108"/>
      <c r="N431" s="108"/>
    </row>
    <row r="432" spans="2:14">
      <c r="B432" s="107"/>
      <c r="C432" s="105"/>
      <c r="D432" s="105"/>
      <c r="E432" s="105"/>
      <c r="F432" s="105"/>
      <c r="G432" s="105"/>
      <c r="H432" s="105"/>
      <c r="I432" s="105"/>
      <c r="J432" s="105"/>
      <c r="K432" s="105"/>
      <c r="L432" s="105"/>
      <c r="M432" s="108"/>
      <c r="N432" s="108"/>
    </row>
    <row r="433" spans="2:14">
      <c r="B433" s="107"/>
      <c r="C433" s="105"/>
      <c r="D433" s="105"/>
      <c r="E433" s="105"/>
      <c r="F433" s="105"/>
      <c r="G433" s="105"/>
      <c r="H433" s="105"/>
      <c r="I433" s="105"/>
      <c r="J433" s="105"/>
      <c r="K433" s="105"/>
      <c r="L433" s="105"/>
      <c r="M433" s="108"/>
      <c r="N433" s="108"/>
    </row>
    <row r="434" spans="2:14">
      <c r="B434" s="107"/>
      <c r="C434" s="105"/>
      <c r="D434" s="105"/>
      <c r="E434" s="105"/>
      <c r="F434" s="105"/>
      <c r="G434" s="105"/>
      <c r="H434" s="105"/>
      <c r="I434" s="105"/>
      <c r="J434" s="105"/>
      <c r="K434" s="105"/>
      <c r="L434" s="105"/>
      <c r="M434" s="108"/>
      <c r="N434" s="108"/>
    </row>
    <row r="435" spans="2:14">
      <c r="B435" s="107"/>
      <c r="C435" s="105"/>
      <c r="D435" s="105"/>
      <c r="E435" s="105"/>
      <c r="F435" s="105"/>
      <c r="G435" s="105"/>
      <c r="H435" s="105"/>
      <c r="I435" s="105"/>
      <c r="J435" s="105"/>
      <c r="K435" s="105"/>
      <c r="L435" s="105"/>
      <c r="M435" s="108"/>
      <c r="N435" s="108"/>
    </row>
    <row r="436" spans="2:14">
      <c r="B436" s="107"/>
      <c r="C436" s="105"/>
      <c r="D436" s="105"/>
      <c r="E436" s="105"/>
      <c r="F436" s="105"/>
      <c r="G436" s="105"/>
      <c r="H436" s="105"/>
      <c r="I436" s="105"/>
      <c r="J436" s="105"/>
      <c r="K436" s="105"/>
      <c r="L436" s="105"/>
      <c r="M436" s="108"/>
      <c r="N436" s="108"/>
    </row>
    <row r="437" spans="2:14">
      <c r="B437" s="107"/>
      <c r="C437" s="105"/>
      <c r="D437" s="105"/>
      <c r="E437" s="105"/>
      <c r="F437" s="105"/>
      <c r="G437" s="105"/>
      <c r="H437" s="105"/>
      <c r="I437" s="105"/>
      <c r="J437" s="105"/>
      <c r="K437" s="105"/>
      <c r="L437" s="105"/>
      <c r="M437" s="108"/>
      <c r="N437" s="108"/>
    </row>
    <row r="438" spans="2:14">
      <c r="B438" s="107"/>
      <c r="C438" s="105"/>
      <c r="D438" s="105"/>
      <c r="E438" s="105"/>
      <c r="F438" s="105"/>
      <c r="G438" s="105"/>
      <c r="H438" s="105"/>
      <c r="I438" s="105"/>
      <c r="J438" s="105"/>
      <c r="K438" s="105"/>
      <c r="L438" s="105"/>
      <c r="M438" s="108"/>
      <c r="N438" s="108"/>
    </row>
    <row r="439" spans="2:14">
      <c r="B439" s="107"/>
      <c r="C439" s="105"/>
      <c r="D439" s="105"/>
      <c r="E439" s="105"/>
      <c r="F439" s="105"/>
      <c r="G439" s="105"/>
      <c r="H439" s="105"/>
      <c r="I439" s="105"/>
      <c r="J439" s="105"/>
      <c r="K439" s="105"/>
      <c r="L439" s="105"/>
      <c r="M439" s="108"/>
      <c r="N439" s="108"/>
    </row>
    <row r="440" spans="2:14">
      <c r="B440" s="107"/>
      <c r="C440" s="105"/>
      <c r="D440" s="105"/>
      <c r="E440" s="105"/>
      <c r="F440" s="105"/>
      <c r="G440" s="105"/>
      <c r="H440" s="105"/>
      <c r="I440" s="105"/>
      <c r="J440" s="105"/>
      <c r="K440" s="105"/>
      <c r="L440" s="105"/>
      <c r="M440" s="108"/>
      <c r="N440" s="108"/>
    </row>
    <row r="441" spans="2:14">
      <c r="B441" s="107"/>
      <c r="C441" s="105"/>
      <c r="D441" s="105"/>
      <c r="E441" s="105"/>
      <c r="F441" s="105"/>
      <c r="G441" s="105"/>
      <c r="H441" s="105"/>
      <c r="I441" s="105"/>
      <c r="J441" s="105"/>
      <c r="K441" s="105"/>
      <c r="L441" s="105"/>
      <c r="M441" s="108"/>
      <c r="N441" s="108"/>
    </row>
    <row r="442" spans="2:14">
      <c r="B442" s="107"/>
      <c r="C442" s="105"/>
      <c r="D442" s="105"/>
      <c r="E442" s="105"/>
      <c r="F442" s="105"/>
      <c r="G442" s="105"/>
      <c r="H442" s="105"/>
      <c r="I442" s="105"/>
      <c r="J442" s="105"/>
      <c r="K442" s="105"/>
      <c r="L442" s="105"/>
      <c r="M442" s="108"/>
      <c r="N442" s="108"/>
    </row>
    <row r="443" spans="2:14">
      <c r="B443" s="107"/>
      <c r="C443" s="105"/>
      <c r="D443" s="105"/>
      <c r="E443" s="105"/>
      <c r="F443" s="105"/>
      <c r="G443" s="105"/>
      <c r="H443" s="105"/>
      <c r="I443" s="105"/>
      <c r="J443" s="105"/>
      <c r="K443" s="105"/>
      <c r="L443" s="105"/>
      <c r="M443" s="108"/>
      <c r="N443" s="108"/>
    </row>
    <row r="444" spans="2:14">
      <c r="B444" s="107"/>
      <c r="C444" s="105"/>
      <c r="D444" s="105"/>
      <c r="E444" s="105"/>
      <c r="F444" s="105"/>
      <c r="G444" s="105"/>
      <c r="H444" s="105"/>
      <c r="I444" s="105"/>
      <c r="J444" s="105"/>
      <c r="K444" s="105"/>
      <c r="L444" s="105"/>
      <c r="M444" s="108"/>
      <c r="N444" s="108"/>
    </row>
    <row r="445" spans="2:14">
      <c r="B445" s="107"/>
      <c r="C445" s="105"/>
      <c r="D445" s="105"/>
      <c r="E445" s="105"/>
      <c r="F445" s="105"/>
      <c r="G445" s="105"/>
      <c r="H445" s="105"/>
      <c r="I445" s="105"/>
      <c r="J445" s="105"/>
      <c r="K445" s="105"/>
      <c r="L445" s="105"/>
      <c r="M445" s="108"/>
      <c r="N445" s="108"/>
    </row>
    <row r="446" spans="2:14">
      <c r="B446" s="107"/>
      <c r="C446" s="105"/>
      <c r="D446" s="105"/>
      <c r="E446" s="105"/>
      <c r="F446" s="105"/>
      <c r="G446" s="105"/>
      <c r="H446" s="105"/>
      <c r="I446" s="105"/>
      <c r="J446" s="105"/>
      <c r="K446" s="105"/>
      <c r="L446" s="105"/>
      <c r="M446" s="108"/>
      <c r="N446" s="108"/>
    </row>
    <row r="447" spans="2:14">
      <c r="B447" s="107"/>
      <c r="C447" s="105"/>
      <c r="D447" s="105"/>
      <c r="E447" s="105"/>
      <c r="F447" s="105"/>
      <c r="G447" s="105"/>
      <c r="H447" s="105"/>
      <c r="I447" s="105"/>
      <c r="J447" s="105"/>
      <c r="K447" s="105"/>
      <c r="L447" s="105"/>
      <c r="M447" s="108"/>
      <c r="N447" s="108"/>
    </row>
    <row r="448" spans="2:14">
      <c r="B448" s="107"/>
      <c r="C448" s="105"/>
      <c r="D448" s="105"/>
      <c r="E448" s="105"/>
      <c r="F448" s="105"/>
      <c r="G448" s="105"/>
      <c r="H448" s="105"/>
      <c r="I448" s="105"/>
      <c r="J448" s="105"/>
      <c r="K448" s="105"/>
      <c r="L448" s="105"/>
      <c r="M448" s="108"/>
      <c r="N448" s="108"/>
    </row>
    <row r="449" spans="2:14">
      <c r="B449" s="107"/>
      <c r="C449" s="105"/>
      <c r="D449" s="105"/>
      <c r="E449" s="105"/>
      <c r="F449" s="105"/>
      <c r="G449" s="105"/>
      <c r="H449" s="105"/>
      <c r="I449" s="105"/>
      <c r="J449" s="105"/>
      <c r="K449" s="105"/>
      <c r="L449" s="105"/>
      <c r="M449" s="108"/>
      <c r="N449" s="108"/>
    </row>
    <row r="450" spans="2:14">
      <c r="B450" s="107"/>
      <c r="C450" s="105"/>
      <c r="D450" s="105"/>
      <c r="E450" s="105"/>
      <c r="F450" s="105"/>
      <c r="G450" s="105"/>
      <c r="H450" s="105"/>
      <c r="I450" s="105"/>
      <c r="J450" s="105"/>
      <c r="K450" s="105"/>
      <c r="L450" s="105"/>
      <c r="M450" s="108"/>
      <c r="N450" s="108"/>
    </row>
    <row r="451" spans="2:14">
      <c r="B451" s="107"/>
      <c r="C451" s="105"/>
      <c r="D451" s="105"/>
      <c r="E451" s="105"/>
      <c r="F451" s="105"/>
      <c r="G451" s="105"/>
      <c r="H451" s="105"/>
      <c r="I451" s="105"/>
      <c r="J451" s="105"/>
      <c r="K451" s="105"/>
      <c r="L451" s="105"/>
      <c r="M451" s="108"/>
      <c r="N451" s="108"/>
    </row>
    <row r="452" spans="2:14">
      <c r="B452" s="107"/>
      <c r="C452" s="105"/>
      <c r="D452" s="105"/>
      <c r="E452" s="105"/>
      <c r="F452" s="105"/>
      <c r="G452" s="105"/>
      <c r="H452" s="105"/>
      <c r="I452" s="105"/>
      <c r="J452" s="105"/>
      <c r="K452" s="105"/>
      <c r="L452" s="105"/>
      <c r="M452" s="108"/>
      <c r="N452" s="108"/>
    </row>
    <row r="453" spans="2:14">
      <c r="B453" s="107"/>
      <c r="C453" s="105"/>
      <c r="D453" s="105"/>
      <c r="E453" s="105"/>
      <c r="F453" s="105"/>
      <c r="G453" s="105"/>
      <c r="H453" s="105"/>
      <c r="I453" s="105"/>
      <c r="J453" s="105"/>
      <c r="K453" s="105"/>
      <c r="L453" s="105"/>
      <c r="M453" s="108"/>
      <c r="N453" s="108"/>
    </row>
    <row r="454" spans="2:14">
      <c r="B454" s="107"/>
      <c r="C454" s="105"/>
      <c r="D454" s="105"/>
      <c r="E454" s="105"/>
      <c r="F454" s="105"/>
      <c r="G454" s="105"/>
      <c r="H454" s="105"/>
      <c r="I454" s="105"/>
      <c r="J454" s="105"/>
      <c r="K454" s="105"/>
      <c r="L454" s="105"/>
      <c r="M454" s="108"/>
      <c r="N454" s="108"/>
    </row>
    <row r="455" spans="2:14">
      <c r="B455" s="107"/>
      <c r="C455" s="105"/>
      <c r="D455" s="105"/>
      <c r="E455" s="105"/>
      <c r="F455" s="105"/>
      <c r="G455" s="105"/>
      <c r="H455" s="105"/>
      <c r="I455" s="105"/>
      <c r="J455" s="105"/>
      <c r="K455" s="105"/>
      <c r="L455" s="105"/>
      <c r="M455" s="108"/>
      <c r="N455" s="108"/>
    </row>
    <row r="456" spans="2:14">
      <c r="B456" s="107"/>
      <c r="C456" s="105"/>
      <c r="D456" s="105"/>
      <c r="E456" s="105"/>
      <c r="F456" s="105"/>
      <c r="G456" s="105"/>
      <c r="H456" s="105"/>
      <c r="I456" s="105"/>
      <c r="J456" s="105"/>
      <c r="K456" s="105"/>
      <c r="L456" s="105"/>
      <c r="M456" s="108"/>
      <c r="N456" s="108"/>
    </row>
    <row r="457" spans="2:14">
      <c r="B457" s="107"/>
      <c r="C457" s="105"/>
      <c r="D457" s="105"/>
      <c r="E457" s="105"/>
      <c r="F457" s="105"/>
      <c r="G457" s="105"/>
      <c r="H457" s="105"/>
      <c r="I457" s="105"/>
      <c r="J457" s="105"/>
      <c r="K457" s="105"/>
      <c r="L457" s="105"/>
      <c r="M457" s="108"/>
      <c r="N457" s="108"/>
    </row>
    <row r="458" spans="2:14">
      <c r="B458" s="107"/>
      <c r="C458" s="105"/>
      <c r="D458" s="105"/>
      <c r="E458" s="105"/>
      <c r="F458" s="105"/>
      <c r="G458" s="105"/>
      <c r="H458" s="105"/>
      <c r="I458" s="105"/>
      <c r="J458" s="105"/>
      <c r="K458" s="105"/>
      <c r="L458" s="105"/>
      <c r="M458" s="108"/>
      <c r="N458" s="108"/>
    </row>
    <row r="459" spans="2:14">
      <c r="B459" s="107"/>
      <c r="C459" s="105"/>
      <c r="D459" s="105"/>
      <c r="E459" s="105"/>
      <c r="F459" s="105"/>
      <c r="G459" s="105"/>
      <c r="H459" s="105"/>
      <c r="I459" s="105"/>
      <c r="J459" s="105"/>
      <c r="K459" s="105"/>
      <c r="L459" s="105"/>
      <c r="M459" s="108"/>
      <c r="N459" s="108"/>
    </row>
    <row r="460" spans="2:14">
      <c r="B460" s="107"/>
      <c r="C460" s="105"/>
      <c r="D460" s="105"/>
      <c r="E460" s="105"/>
      <c r="F460" s="105"/>
      <c r="G460" s="105"/>
      <c r="H460" s="105"/>
      <c r="I460" s="105"/>
      <c r="J460" s="105"/>
      <c r="K460" s="105"/>
      <c r="L460" s="105"/>
      <c r="M460" s="108"/>
      <c r="N460" s="108"/>
    </row>
    <row r="461" spans="2:14">
      <c r="B461" s="107"/>
      <c r="C461" s="105"/>
      <c r="D461" s="105"/>
      <c r="E461" s="105"/>
      <c r="F461" s="105"/>
      <c r="G461" s="105"/>
      <c r="H461" s="105"/>
      <c r="I461" s="105"/>
      <c r="J461" s="105"/>
      <c r="K461" s="105"/>
      <c r="L461" s="105"/>
      <c r="M461" s="108"/>
      <c r="N461" s="108"/>
    </row>
    <row r="462" spans="2:14">
      <c r="B462" s="107"/>
      <c r="C462" s="105"/>
      <c r="D462" s="105"/>
      <c r="E462" s="105"/>
      <c r="F462" s="105"/>
      <c r="G462" s="105"/>
      <c r="H462" s="105"/>
      <c r="I462" s="105"/>
      <c r="J462" s="105"/>
      <c r="K462" s="105"/>
      <c r="L462" s="105"/>
      <c r="M462" s="108"/>
      <c r="N462" s="108"/>
    </row>
    <row r="463" spans="2:14">
      <c r="B463" s="107"/>
      <c r="C463" s="105"/>
      <c r="D463" s="105"/>
      <c r="E463" s="105"/>
      <c r="F463" s="105"/>
      <c r="G463" s="105"/>
      <c r="H463" s="105"/>
      <c r="I463" s="105"/>
      <c r="J463" s="105"/>
      <c r="K463" s="105"/>
      <c r="L463" s="105"/>
      <c r="M463" s="108"/>
      <c r="N463" s="108"/>
    </row>
    <row r="464" spans="2:14">
      <c r="B464" s="107"/>
      <c r="C464" s="105"/>
      <c r="D464" s="105"/>
      <c r="E464" s="105"/>
      <c r="F464" s="105"/>
      <c r="G464" s="105"/>
      <c r="H464" s="105"/>
      <c r="I464" s="105"/>
      <c r="J464" s="105"/>
      <c r="K464" s="105"/>
      <c r="L464" s="105"/>
      <c r="M464" s="108"/>
      <c r="N464" s="108"/>
    </row>
    <row r="465" spans="2:14">
      <c r="B465" s="107"/>
      <c r="C465" s="105"/>
      <c r="D465" s="105"/>
      <c r="E465" s="105"/>
      <c r="F465" s="105"/>
      <c r="G465" s="105"/>
      <c r="H465" s="105"/>
      <c r="I465" s="105"/>
      <c r="J465" s="105"/>
      <c r="K465" s="105"/>
      <c r="L465" s="105"/>
      <c r="M465" s="108"/>
      <c r="N465" s="108"/>
    </row>
    <row r="466" spans="2:14">
      <c r="B466" s="107"/>
      <c r="C466" s="105"/>
      <c r="D466" s="105"/>
      <c r="E466" s="105"/>
      <c r="F466" s="105"/>
      <c r="G466" s="105"/>
      <c r="H466" s="105"/>
      <c r="I466" s="105"/>
      <c r="J466" s="105"/>
      <c r="K466" s="105"/>
      <c r="L466" s="105"/>
      <c r="M466" s="108"/>
      <c r="N466" s="108"/>
    </row>
    <row r="467" spans="2:14">
      <c r="B467" s="107"/>
      <c r="C467" s="105"/>
      <c r="D467" s="105"/>
      <c r="E467" s="105"/>
      <c r="F467" s="105"/>
      <c r="G467" s="105"/>
      <c r="H467" s="105"/>
      <c r="I467" s="105"/>
      <c r="J467" s="105"/>
      <c r="K467" s="105"/>
      <c r="L467" s="105"/>
      <c r="M467" s="108"/>
      <c r="N467" s="108"/>
    </row>
    <row r="468" spans="2:14">
      <c r="B468" s="107"/>
      <c r="C468" s="105"/>
      <c r="D468" s="105"/>
      <c r="E468" s="105"/>
      <c r="F468" s="105"/>
      <c r="G468" s="105"/>
      <c r="H468" s="105"/>
      <c r="I468" s="105"/>
      <c r="J468" s="105"/>
      <c r="K468" s="105"/>
      <c r="L468" s="105"/>
      <c r="M468" s="108"/>
      <c r="N468" s="108"/>
    </row>
    <row r="469" spans="2:14">
      <c r="B469" s="107"/>
      <c r="C469" s="105"/>
      <c r="D469" s="105"/>
      <c r="E469" s="105"/>
      <c r="F469" s="105"/>
      <c r="G469" s="105"/>
      <c r="H469" s="105"/>
      <c r="I469" s="105"/>
      <c r="J469" s="105"/>
      <c r="K469" s="105"/>
      <c r="L469" s="105"/>
      <c r="M469" s="108"/>
      <c r="N469" s="108"/>
    </row>
    <row r="470" spans="2:14">
      <c r="B470" s="107"/>
      <c r="C470" s="105"/>
      <c r="D470" s="105"/>
      <c r="E470" s="105"/>
      <c r="F470" s="105"/>
      <c r="G470" s="105"/>
      <c r="H470" s="105"/>
      <c r="I470" s="105"/>
      <c r="J470" s="105"/>
      <c r="K470" s="105"/>
      <c r="L470" s="105"/>
      <c r="M470" s="108"/>
      <c r="N470" s="108"/>
    </row>
    <row r="471" spans="2:14">
      <c r="B471" s="107"/>
      <c r="C471" s="105"/>
      <c r="D471" s="105"/>
      <c r="E471" s="105"/>
      <c r="F471" s="105"/>
      <c r="G471" s="105"/>
      <c r="H471" s="105"/>
      <c r="I471" s="105"/>
      <c r="J471" s="105"/>
      <c r="K471" s="105"/>
      <c r="L471" s="105"/>
      <c r="M471" s="108"/>
      <c r="N471" s="108"/>
    </row>
    <row r="472" spans="2:14">
      <c r="B472" s="107"/>
      <c r="C472" s="105"/>
      <c r="D472" s="105"/>
      <c r="E472" s="105"/>
      <c r="F472" s="105"/>
      <c r="G472" s="105"/>
      <c r="H472" s="105"/>
      <c r="I472" s="105"/>
      <c r="J472" s="105"/>
      <c r="K472" s="105"/>
      <c r="L472" s="105"/>
      <c r="M472" s="108"/>
      <c r="N472" s="108"/>
    </row>
    <row r="473" spans="2:14">
      <c r="B473" s="107"/>
      <c r="C473" s="105"/>
      <c r="D473" s="105"/>
      <c r="E473" s="105"/>
      <c r="F473" s="105"/>
      <c r="G473" s="105"/>
      <c r="H473" s="105"/>
      <c r="I473" s="105"/>
      <c r="J473" s="105"/>
      <c r="K473" s="105"/>
      <c r="L473" s="105"/>
      <c r="M473" s="108"/>
      <c r="N473" s="108"/>
    </row>
    <row r="474" spans="2:14">
      <c r="B474" s="107"/>
      <c r="C474" s="105"/>
      <c r="D474" s="105"/>
      <c r="E474" s="105"/>
      <c r="F474" s="105"/>
      <c r="G474" s="105"/>
      <c r="H474" s="105"/>
      <c r="I474" s="105"/>
      <c r="J474" s="105"/>
      <c r="K474" s="105"/>
      <c r="L474" s="105"/>
      <c r="M474" s="108"/>
      <c r="N474" s="108"/>
    </row>
    <row r="475" spans="2:14">
      <c r="B475" s="107"/>
      <c r="C475" s="105"/>
      <c r="D475" s="105"/>
      <c r="E475" s="105"/>
      <c r="F475" s="105"/>
      <c r="G475" s="105"/>
      <c r="H475" s="105"/>
      <c r="I475" s="105"/>
      <c r="J475" s="105"/>
      <c r="K475" s="105"/>
      <c r="L475" s="105"/>
      <c r="M475" s="108"/>
      <c r="N475" s="108"/>
    </row>
    <row r="476" spans="2:14">
      <c r="B476" s="107"/>
      <c r="C476" s="105"/>
      <c r="D476" s="105"/>
      <c r="E476" s="105"/>
      <c r="F476" s="105"/>
      <c r="G476" s="105"/>
      <c r="H476" s="105"/>
      <c r="I476" s="105"/>
      <c r="J476" s="105"/>
      <c r="K476" s="105"/>
      <c r="L476" s="105"/>
      <c r="M476" s="108"/>
      <c r="N476" s="108"/>
    </row>
    <row r="477" spans="2:14">
      <c r="B477" s="107"/>
      <c r="C477" s="105"/>
      <c r="D477" s="105"/>
      <c r="E477" s="105"/>
      <c r="F477" s="105"/>
      <c r="G477" s="105"/>
      <c r="H477" s="105"/>
      <c r="I477" s="105"/>
      <c r="J477" s="105"/>
      <c r="K477" s="105"/>
      <c r="L477" s="105"/>
      <c r="M477" s="108"/>
      <c r="N477" s="108"/>
    </row>
    <row r="478" spans="2:14">
      <c r="B478" s="107"/>
      <c r="C478" s="105"/>
      <c r="D478" s="105"/>
      <c r="E478" s="105"/>
      <c r="F478" s="105"/>
      <c r="G478" s="105"/>
      <c r="H478" s="105"/>
      <c r="I478" s="105"/>
      <c r="J478" s="105"/>
      <c r="K478" s="105"/>
      <c r="L478" s="105"/>
      <c r="M478" s="108"/>
      <c r="N478" s="108"/>
    </row>
    <row r="479" spans="2:14">
      <c r="B479" s="107"/>
      <c r="C479" s="105"/>
      <c r="D479" s="105"/>
      <c r="E479" s="105"/>
      <c r="F479" s="105"/>
      <c r="G479" s="105"/>
      <c r="H479" s="105"/>
      <c r="I479" s="105"/>
      <c r="J479" s="105"/>
      <c r="K479" s="105"/>
      <c r="L479" s="105"/>
      <c r="M479" s="108"/>
      <c r="N479" s="108"/>
    </row>
    <row r="480" spans="2:14">
      <c r="B480" s="107"/>
      <c r="C480" s="105"/>
      <c r="D480" s="105"/>
      <c r="E480" s="105"/>
      <c r="F480" s="105"/>
      <c r="G480" s="105"/>
      <c r="H480" s="105"/>
      <c r="I480" s="105"/>
      <c r="J480" s="105"/>
      <c r="K480" s="105"/>
      <c r="L480" s="105"/>
      <c r="M480" s="108"/>
      <c r="N480" s="108"/>
    </row>
    <row r="481" spans="2:14">
      <c r="B481" s="107"/>
      <c r="C481" s="105"/>
      <c r="D481" s="105"/>
      <c r="E481" s="105"/>
      <c r="F481" s="105"/>
      <c r="G481" s="105"/>
      <c r="H481" s="105"/>
      <c r="I481" s="105"/>
      <c r="J481" s="105"/>
      <c r="K481" s="105"/>
      <c r="L481" s="105"/>
      <c r="M481" s="108"/>
      <c r="N481" s="108"/>
    </row>
    <row r="482" spans="2:14">
      <c r="B482" s="107"/>
      <c r="C482" s="105"/>
      <c r="D482" s="105"/>
      <c r="E482" s="105"/>
      <c r="F482" s="105"/>
      <c r="G482" s="105"/>
      <c r="H482" s="105"/>
      <c r="I482" s="105"/>
      <c r="J482" s="105"/>
      <c r="K482" s="105"/>
      <c r="L482" s="105"/>
      <c r="M482" s="108"/>
      <c r="N482" s="108"/>
    </row>
    <row r="483" spans="2:14">
      <c r="B483" s="107"/>
      <c r="C483" s="105"/>
      <c r="D483" s="105"/>
      <c r="E483" s="105"/>
      <c r="F483" s="105"/>
      <c r="G483" s="105"/>
      <c r="H483" s="105"/>
      <c r="I483" s="105"/>
      <c r="J483" s="105"/>
      <c r="K483" s="105"/>
      <c r="L483" s="105"/>
      <c r="M483" s="108"/>
      <c r="N483" s="108"/>
    </row>
    <row r="484" spans="2:14">
      <c r="B484" s="107"/>
      <c r="C484" s="105"/>
      <c r="D484" s="105"/>
      <c r="E484" s="105"/>
      <c r="F484" s="105"/>
      <c r="G484" s="105"/>
      <c r="H484" s="105"/>
      <c r="I484" s="105"/>
      <c r="J484" s="105"/>
      <c r="K484" s="105"/>
      <c r="L484" s="105"/>
      <c r="M484" s="108"/>
      <c r="N484" s="108"/>
    </row>
    <row r="485" spans="2:14">
      <c r="B485" s="107"/>
      <c r="C485" s="105"/>
      <c r="D485" s="105"/>
      <c r="E485" s="105"/>
      <c r="F485" s="105"/>
      <c r="G485" s="105"/>
      <c r="H485" s="105"/>
      <c r="I485" s="105"/>
      <c r="J485" s="105"/>
      <c r="K485" s="105"/>
      <c r="L485" s="105"/>
      <c r="M485" s="108"/>
      <c r="N485" s="108"/>
    </row>
    <row r="486" spans="2:14">
      <c r="B486" s="107"/>
      <c r="C486" s="105"/>
      <c r="D486" s="105"/>
      <c r="E486" s="105"/>
      <c r="F486" s="105"/>
      <c r="G486" s="105"/>
      <c r="H486" s="105"/>
      <c r="I486" s="105"/>
      <c r="J486" s="105"/>
      <c r="K486" s="105"/>
      <c r="L486" s="105"/>
      <c r="M486" s="108"/>
      <c r="N486" s="108"/>
    </row>
    <row r="487" spans="2:14">
      <c r="B487" s="107"/>
      <c r="C487" s="105"/>
      <c r="D487" s="105"/>
      <c r="E487" s="105"/>
      <c r="F487" s="105"/>
      <c r="G487" s="105"/>
      <c r="H487" s="105"/>
      <c r="I487" s="105"/>
      <c r="J487" s="105"/>
      <c r="K487" s="105"/>
      <c r="L487" s="105"/>
      <c r="M487" s="108"/>
      <c r="N487" s="108"/>
    </row>
    <row r="488" spans="2:14">
      <c r="B488" s="107"/>
      <c r="C488" s="105"/>
      <c r="D488" s="105"/>
      <c r="E488" s="105"/>
      <c r="F488" s="105"/>
      <c r="G488" s="105"/>
      <c r="H488" s="105"/>
      <c r="I488" s="105"/>
      <c r="J488" s="105"/>
      <c r="K488" s="105"/>
      <c r="L488" s="105"/>
      <c r="M488" s="108"/>
      <c r="N488" s="108"/>
    </row>
    <row r="489" spans="2:14">
      <c r="B489" s="107"/>
      <c r="C489" s="105"/>
      <c r="D489" s="105"/>
      <c r="E489" s="105"/>
      <c r="F489" s="105"/>
      <c r="G489" s="105"/>
      <c r="H489" s="105"/>
      <c r="I489" s="105"/>
      <c r="J489" s="105"/>
      <c r="K489" s="105"/>
      <c r="L489" s="105"/>
      <c r="M489" s="108"/>
      <c r="N489" s="108"/>
    </row>
    <row r="490" spans="2:14">
      <c r="B490" s="107"/>
      <c r="C490" s="105"/>
      <c r="D490" s="105"/>
      <c r="E490" s="105"/>
      <c r="F490" s="105"/>
      <c r="G490" s="105"/>
      <c r="H490" s="105"/>
      <c r="I490" s="105"/>
      <c r="J490" s="105"/>
      <c r="K490" s="105"/>
      <c r="L490" s="105"/>
      <c r="M490" s="108"/>
      <c r="N490" s="108"/>
    </row>
    <row r="491" spans="2:14">
      <c r="B491" s="107"/>
      <c r="C491" s="105"/>
      <c r="D491" s="105"/>
      <c r="E491" s="105"/>
      <c r="F491" s="105"/>
      <c r="G491" s="105"/>
      <c r="H491" s="105"/>
      <c r="I491" s="105"/>
      <c r="J491" s="105"/>
      <c r="K491" s="105"/>
      <c r="L491" s="105"/>
      <c r="M491" s="108"/>
      <c r="N491" s="108"/>
    </row>
    <row r="492" spans="2:14">
      <c r="B492" s="107"/>
      <c r="C492" s="105"/>
      <c r="D492" s="105"/>
      <c r="E492" s="105"/>
      <c r="F492" s="105"/>
      <c r="G492" s="105"/>
      <c r="H492" s="105"/>
      <c r="I492" s="105"/>
      <c r="J492" s="105"/>
      <c r="K492" s="105"/>
      <c r="L492" s="105"/>
      <c r="M492" s="108"/>
      <c r="N492" s="108"/>
    </row>
    <row r="493" spans="2:14">
      <c r="B493" s="107"/>
      <c r="C493" s="105"/>
      <c r="D493" s="105"/>
      <c r="E493" s="105"/>
      <c r="F493" s="105"/>
      <c r="G493" s="105"/>
      <c r="H493" s="105"/>
      <c r="I493" s="105"/>
      <c r="J493" s="105"/>
      <c r="K493" s="105"/>
      <c r="L493" s="105"/>
      <c r="M493" s="108"/>
      <c r="N493" s="108"/>
    </row>
    <row r="494" spans="2:14">
      <c r="B494" s="107"/>
      <c r="C494" s="105"/>
      <c r="D494" s="105"/>
      <c r="E494" s="105"/>
      <c r="F494" s="105"/>
      <c r="G494" s="105"/>
      <c r="H494" s="105"/>
      <c r="I494" s="105"/>
      <c r="J494" s="105"/>
      <c r="K494" s="105"/>
      <c r="L494" s="105"/>
      <c r="M494" s="108"/>
      <c r="N494" s="108"/>
    </row>
    <row r="495" spans="2:14">
      <c r="B495" s="107"/>
      <c r="C495" s="105"/>
      <c r="D495" s="105"/>
      <c r="E495" s="105"/>
      <c r="F495" s="105"/>
      <c r="G495" s="105"/>
      <c r="H495" s="105"/>
      <c r="I495" s="105"/>
      <c r="J495" s="105"/>
      <c r="K495" s="105"/>
      <c r="L495" s="105"/>
      <c r="M495" s="108"/>
      <c r="N495" s="108"/>
    </row>
    <row r="496" spans="2:14">
      <c r="B496" s="107"/>
      <c r="C496" s="105"/>
      <c r="D496" s="105"/>
      <c r="E496" s="105"/>
      <c r="F496" s="105"/>
      <c r="G496" s="105"/>
      <c r="H496" s="105"/>
      <c r="I496" s="105"/>
      <c r="J496" s="105"/>
      <c r="K496" s="105"/>
      <c r="L496" s="105"/>
      <c r="M496" s="108"/>
      <c r="N496" s="108"/>
    </row>
    <row r="497" spans="2:14">
      <c r="B497" s="107"/>
      <c r="C497" s="105"/>
      <c r="D497" s="105"/>
      <c r="E497" s="105"/>
      <c r="F497" s="105"/>
      <c r="G497" s="105"/>
      <c r="H497" s="105"/>
      <c r="I497" s="105"/>
      <c r="J497" s="105"/>
      <c r="K497" s="105"/>
      <c r="L497" s="105"/>
      <c r="M497" s="108"/>
      <c r="N497" s="108"/>
    </row>
    <row r="498" spans="2:14">
      <c r="B498" s="107"/>
      <c r="C498" s="105"/>
      <c r="D498" s="105"/>
      <c r="E498" s="105"/>
      <c r="F498" s="105"/>
      <c r="G498" s="105"/>
      <c r="H498" s="105"/>
      <c r="I498" s="105"/>
      <c r="J498" s="105"/>
      <c r="K498" s="105"/>
      <c r="L498" s="105"/>
      <c r="M498" s="108"/>
      <c r="N498" s="108"/>
    </row>
    <row r="499" spans="2:14">
      <c r="B499" s="107"/>
      <c r="C499" s="105"/>
      <c r="D499" s="105"/>
      <c r="E499" s="105"/>
      <c r="F499" s="105"/>
      <c r="G499" s="105"/>
      <c r="H499" s="105"/>
      <c r="I499" s="105"/>
      <c r="J499" s="105"/>
      <c r="K499" s="105"/>
      <c r="L499" s="105"/>
      <c r="M499" s="108"/>
      <c r="N499" s="108"/>
    </row>
    <row r="500" spans="2:14">
      <c r="B500" s="107"/>
      <c r="C500" s="105"/>
      <c r="D500" s="105"/>
      <c r="E500" s="105"/>
      <c r="F500" s="105"/>
      <c r="G500" s="105"/>
      <c r="H500" s="105"/>
      <c r="I500" s="105"/>
      <c r="J500" s="105"/>
      <c r="K500" s="105"/>
      <c r="L500" s="105"/>
      <c r="M500" s="108"/>
      <c r="N500" s="108"/>
    </row>
    <row r="501" spans="2:14">
      <c r="B501" s="107"/>
      <c r="C501" s="105"/>
      <c r="D501" s="105"/>
      <c r="E501" s="105"/>
      <c r="F501" s="105"/>
      <c r="G501" s="105"/>
      <c r="H501" s="105"/>
      <c r="I501" s="105"/>
      <c r="J501" s="105"/>
      <c r="K501" s="105"/>
      <c r="L501" s="105"/>
      <c r="M501" s="108"/>
      <c r="N501" s="108"/>
    </row>
    <row r="502" spans="2:14">
      <c r="B502" s="107"/>
      <c r="C502" s="105"/>
      <c r="D502" s="105"/>
      <c r="E502" s="105"/>
      <c r="F502" s="105"/>
      <c r="G502" s="105"/>
      <c r="H502" s="105"/>
      <c r="I502" s="105"/>
      <c r="J502" s="105"/>
      <c r="K502" s="105"/>
      <c r="L502" s="105"/>
      <c r="M502" s="108"/>
      <c r="N502" s="108"/>
    </row>
    <row r="503" spans="2:14">
      <c r="B503" s="107"/>
      <c r="C503" s="105"/>
      <c r="D503" s="105"/>
      <c r="E503" s="105"/>
      <c r="F503" s="105"/>
      <c r="G503" s="105"/>
      <c r="H503" s="105"/>
      <c r="I503" s="105"/>
      <c r="J503" s="105"/>
      <c r="K503" s="105"/>
      <c r="L503" s="105"/>
      <c r="M503" s="108"/>
      <c r="N503" s="108"/>
    </row>
    <row r="504" spans="2:14">
      <c r="B504" s="107"/>
      <c r="C504" s="105"/>
      <c r="D504" s="105"/>
      <c r="E504" s="105"/>
      <c r="F504" s="105"/>
      <c r="G504" s="105"/>
      <c r="H504" s="105"/>
      <c r="I504" s="105"/>
      <c r="J504" s="105"/>
      <c r="K504" s="105"/>
      <c r="L504" s="105"/>
      <c r="M504" s="108"/>
      <c r="N504" s="108"/>
    </row>
    <row r="505" spans="2:14">
      <c r="B505" s="107"/>
      <c r="C505" s="105"/>
      <c r="D505" s="105"/>
      <c r="E505" s="105"/>
      <c r="F505" s="105"/>
      <c r="G505" s="105"/>
      <c r="H505" s="105"/>
      <c r="I505" s="105"/>
      <c r="J505" s="105"/>
      <c r="K505" s="105"/>
      <c r="L505" s="105"/>
      <c r="M505" s="108"/>
      <c r="N505" s="108"/>
    </row>
    <row r="506" spans="2:14">
      <c r="B506" s="107"/>
      <c r="C506" s="105"/>
      <c r="D506" s="105"/>
      <c r="E506" s="105"/>
      <c r="F506" s="105"/>
      <c r="G506" s="105"/>
      <c r="H506" s="105"/>
      <c r="I506" s="105"/>
      <c r="J506" s="105"/>
      <c r="K506" s="105"/>
      <c r="L506" s="105"/>
      <c r="M506" s="108"/>
      <c r="N506" s="108"/>
    </row>
    <row r="507" spans="2:14">
      <c r="B507" s="107"/>
      <c r="C507" s="105"/>
      <c r="D507" s="105"/>
      <c r="E507" s="105"/>
      <c r="F507" s="105"/>
      <c r="G507" s="105"/>
      <c r="H507" s="105"/>
      <c r="I507" s="105"/>
      <c r="J507" s="105"/>
      <c r="K507" s="105"/>
      <c r="L507" s="105"/>
      <c r="M507" s="108"/>
      <c r="N507" s="108"/>
    </row>
    <row r="508" spans="2:14">
      <c r="B508" s="107"/>
      <c r="C508" s="105"/>
      <c r="D508" s="105"/>
      <c r="E508" s="105"/>
      <c r="F508" s="105"/>
      <c r="G508" s="105"/>
      <c r="H508" s="105"/>
      <c r="I508" s="105"/>
      <c r="J508" s="105"/>
      <c r="K508" s="105"/>
      <c r="L508" s="105"/>
      <c r="M508" s="108"/>
      <c r="N508" s="108"/>
    </row>
    <row r="509" spans="2:14">
      <c r="B509" s="107"/>
      <c r="C509" s="105"/>
      <c r="D509" s="105"/>
      <c r="E509" s="105"/>
      <c r="F509" s="105"/>
      <c r="G509" s="105"/>
      <c r="H509" s="105"/>
      <c r="I509" s="105"/>
      <c r="J509" s="105"/>
      <c r="K509" s="105"/>
      <c r="L509" s="105"/>
      <c r="M509" s="108"/>
      <c r="N509" s="108"/>
    </row>
    <row r="510" spans="2:14">
      <c r="B510" s="107"/>
      <c r="C510" s="105"/>
      <c r="D510" s="105"/>
      <c r="E510" s="105"/>
      <c r="F510" s="105"/>
      <c r="G510" s="105"/>
      <c r="H510" s="105"/>
      <c r="I510" s="105"/>
      <c r="J510" s="105"/>
      <c r="K510" s="105"/>
      <c r="L510" s="105"/>
      <c r="M510" s="108"/>
      <c r="N510" s="108"/>
    </row>
    <row r="511" spans="2:14">
      <c r="B511" s="107"/>
      <c r="C511" s="105"/>
      <c r="D511" s="105"/>
      <c r="E511" s="105"/>
      <c r="F511" s="105"/>
      <c r="G511" s="105"/>
      <c r="H511" s="105"/>
      <c r="I511" s="105"/>
      <c r="J511" s="105"/>
      <c r="K511" s="105"/>
      <c r="L511" s="105"/>
      <c r="M511" s="108"/>
      <c r="N511" s="108"/>
    </row>
    <row r="512" spans="2:14">
      <c r="B512" s="107"/>
      <c r="C512" s="105"/>
      <c r="D512" s="105"/>
      <c r="E512" s="105"/>
      <c r="F512" s="105"/>
      <c r="G512" s="105"/>
      <c r="H512" s="105"/>
      <c r="I512" s="105"/>
      <c r="J512" s="105"/>
      <c r="K512" s="105"/>
      <c r="L512" s="105"/>
      <c r="M512" s="108"/>
      <c r="N512" s="108"/>
    </row>
    <row r="513" spans="2:14">
      <c r="B513" s="107"/>
      <c r="C513" s="105"/>
      <c r="D513" s="105"/>
      <c r="E513" s="105"/>
      <c r="F513" s="105"/>
      <c r="G513" s="105"/>
      <c r="H513" s="105"/>
      <c r="I513" s="105"/>
      <c r="J513" s="105"/>
      <c r="K513" s="105"/>
      <c r="L513" s="105"/>
      <c r="M513" s="108"/>
      <c r="N513" s="108"/>
    </row>
    <row r="514" spans="2:14">
      <c r="B514" s="107"/>
      <c r="C514" s="105"/>
      <c r="D514" s="105"/>
      <c r="E514" s="105"/>
      <c r="F514" s="105"/>
      <c r="G514" s="105"/>
      <c r="H514" s="105"/>
      <c r="I514" s="105"/>
      <c r="J514" s="105"/>
      <c r="K514" s="105"/>
      <c r="L514" s="105"/>
      <c r="M514" s="108"/>
      <c r="N514" s="108"/>
    </row>
    <row r="515" spans="2:14">
      <c r="B515" s="107"/>
      <c r="C515" s="105"/>
      <c r="D515" s="105"/>
      <c r="E515" s="105"/>
      <c r="F515" s="105"/>
      <c r="G515" s="105"/>
      <c r="H515" s="105"/>
      <c r="I515" s="105"/>
      <c r="J515" s="105"/>
      <c r="K515" s="105"/>
      <c r="L515" s="105"/>
      <c r="M515" s="108"/>
      <c r="N515" s="108"/>
    </row>
    <row r="516" spans="2:14">
      <c r="B516" s="107"/>
      <c r="C516" s="105"/>
      <c r="D516" s="105"/>
      <c r="E516" s="105"/>
      <c r="F516" s="105"/>
      <c r="G516" s="105"/>
      <c r="H516" s="105"/>
      <c r="I516" s="105"/>
      <c r="J516" s="105"/>
      <c r="K516" s="105"/>
      <c r="L516" s="105"/>
      <c r="M516" s="108"/>
      <c r="N516" s="108"/>
    </row>
    <row r="517" spans="2:14">
      <c r="B517" s="107"/>
      <c r="C517" s="105"/>
      <c r="D517" s="105"/>
      <c r="E517" s="105"/>
      <c r="F517" s="105"/>
      <c r="G517" s="105"/>
      <c r="H517" s="105"/>
      <c r="I517" s="105"/>
      <c r="J517" s="105"/>
      <c r="K517" s="105"/>
      <c r="L517" s="105"/>
      <c r="M517" s="108"/>
      <c r="N517" s="108"/>
    </row>
    <row r="518" spans="2:14">
      <c r="B518" s="107"/>
      <c r="C518" s="105"/>
      <c r="D518" s="105"/>
      <c r="E518" s="105"/>
      <c r="F518" s="105"/>
      <c r="G518" s="105"/>
      <c r="H518" s="105"/>
      <c r="I518" s="105"/>
      <c r="J518" s="105"/>
      <c r="K518" s="105"/>
      <c r="L518" s="105"/>
    </row>
    <row r="519" spans="2:14">
      <c r="B519" s="107"/>
      <c r="C519" s="105"/>
      <c r="D519" s="105"/>
      <c r="E519" s="105"/>
      <c r="F519" s="105"/>
      <c r="G519" s="105"/>
      <c r="H519" s="105"/>
      <c r="I519" s="105"/>
      <c r="J519" s="105"/>
      <c r="K519" s="105"/>
      <c r="L519" s="105"/>
    </row>
    <row r="520" spans="2:14">
      <c r="B520" s="107"/>
      <c r="C520" s="105"/>
      <c r="D520" s="105"/>
      <c r="E520" s="105"/>
      <c r="F520" s="105"/>
      <c r="G520" s="105"/>
      <c r="H520" s="105"/>
      <c r="I520" s="105"/>
      <c r="J520" s="105"/>
      <c r="K520" s="105"/>
      <c r="L520" s="105"/>
    </row>
    <row r="521" spans="2:14">
      <c r="B521" s="107"/>
      <c r="C521" s="105"/>
      <c r="D521" s="105"/>
      <c r="E521" s="105"/>
      <c r="F521" s="105"/>
      <c r="G521" s="105"/>
      <c r="H521" s="105"/>
      <c r="I521" s="105"/>
      <c r="J521" s="105"/>
      <c r="K521" s="105"/>
      <c r="L521" s="105"/>
    </row>
    <row r="522" spans="2:14">
      <c r="B522" s="107"/>
      <c r="C522" s="105"/>
      <c r="D522" s="105"/>
      <c r="E522" s="105"/>
      <c r="F522" s="105"/>
      <c r="G522" s="105"/>
      <c r="H522" s="105"/>
      <c r="I522" s="105"/>
      <c r="J522" s="105"/>
      <c r="K522" s="105"/>
      <c r="L522" s="105"/>
    </row>
    <row r="523" spans="2:14">
      <c r="B523" s="107"/>
      <c r="C523" s="105"/>
      <c r="D523" s="105"/>
      <c r="E523" s="105"/>
      <c r="F523" s="105"/>
      <c r="G523" s="105"/>
      <c r="H523" s="105"/>
      <c r="I523" s="105"/>
      <c r="J523" s="105"/>
      <c r="K523" s="105"/>
      <c r="L523" s="105"/>
    </row>
    <row r="524" spans="2:14">
      <c r="B524" s="107"/>
      <c r="C524" s="105"/>
      <c r="D524" s="105"/>
      <c r="E524" s="105"/>
      <c r="F524" s="105"/>
      <c r="G524" s="105"/>
      <c r="H524" s="105"/>
      <c r="I524" s="105"/>
      <c r="J524" s="105"/>
      <c r="K524" s="105"/>
      <c r="L524" s="105"/>
    </row>
    <row r="525" spans="2:14">
      <c r="B525" s="107"/>
      <c r="C525" s="105"/>
      <c r="D525" s="105"/>
      <c r="E525" s="105"/>
      <c r="F525" s="105"/>
      <c r="G525" s="105"/>
      <c r="H525" s="105"/>
      <c r="I525" s="105"/>
      <c r="J525" s="105"/>
      <c r="K525" s="105"/>
      <c r="L525" s="105"/>
    </row>
    <row r="526" spans="2:14">
      <c r="B526" s="107"/>
      <c r="C526" s="105"/>
      <c r="D526" s="105"/>
      <c r="E526" s="105"/>
      <c r="F526" s="105"/>
      <c r="G526" s="105"/>
      <c r="H526" s="105"/>
      <c r="I526" s="105"/>
      <c r="J526" s="105"/>
      <c r="K526" s="105"/>
      <c r="L526" s="105"/>
    </row>
    <row r="527" spans="2:14">
      <c r="B527" s="107"/>
      <c r="C527" s="105"/>
      <c r="D527" s="105"/>
      <c r="E527" s="105"/>
      <c r="F527" s="105"/>
      <c r="G527" s="105"/>
      <c r="H527" s="105"/>
      <c r="I527" s="105"/>
      <c r="J527" s="105"/>
      <c r="K527" s="105"/>
      <c r="L527" s="105"/>
    </row>
    <row r="528" spans="2:14">
      <c r="B528" s="107"/>
      <c r="C528" s="105"/>
      <c r="D528" s="105"/>
      <c r="E528" s="105"/>
      <c r="F528" s="105"/>
      <c r="G528" s="105"/>
      <c r="H528" s="105"/>
      <c r="I528" s="105"/>
      <c r="J528" s="105"/>
      <c r="K528" s="105"/>
      <c r="L528" s="105"/>
    </row>
    <row r="529" spans="2:2" s="105" customFormat="1">
      <c r="B529" s="107"/>
    </row>
    <row r="530" spans="2:2" s="105" customFormat="1">
      <c r="B530" s="107"/>
    </row>
    <row r="531" spans="2:2" s="105" customFormat="1">
      <c r="B531" s="107"/>
    </row>
    <row r="532" spans="2:2" s="105" customFormat="1">
      <c r="B532" s="107"/>
    </row>
    <row r="533" spans="2:2" s="105" customFormat="1">
      <c r="B533" s="107"/>
    </row>
    <row r="534" spans="2:2" s="105" customFormat="1">
      <c r="B534" s="107"/>
    </row>
    <row r="535" spans="2:2" s="105" customFormat="1">
      <c r="B535" s="107"/>
    </row>
    <row r="536" spans="2:2" s="105" customFormat="1">
      <c r="B536" s="107"/>
    </row>
    <row r="537" spans="2:2" s="105" customFormat="1">
      <c r="B537" s="107"/>
    </row>
    <row r="538" spans="2:2" s="105" customFormat="1">
      <c r="B538" s="107"/>
    </row>
    <row r="539" spans="2:2" s="105" customFormat="1">
      <c r="B539" s="107"/>
    </row>
    <row r="540" spans="2:2" s="105" customFormat="1">
      <c r="B540" s="107"/>
    </row>
    <row r="541" spans="2:2" s="105" customFormat="1">
      <c r="B541" s="107"/>
    </row>
    <row r="542" spans="2:2" s="105" customFormat="1">
      <c r="B542" s="107"/>
    </row>
    <row r="543" spans="2:2" s="105" customFormat="1">
      <c r="B543" s="107"/>
    </row>
    <row r="544" spans="2:2" s="105" customFormat="1">
      <c r="B544" s="107"/>
    </row>
    <row r="545" spans="2:2" s="105" customFormat="1">
      <c r="B545" s="107"/>
    </row>
    <row r="546" spans="2:2" s="105" customFormat="1">
      <c r="B546" s="107"/>
    </row>
    <row r="547" spans="2:2" s="105" customFormat="1">
      <c r="B547" s="107"/>
    </row>
    <row r="548" spans="2:2" s="105" customFormat="1">
      <c r="B548" s="107"/>
    </row>
    <row r="549" spans="2:2" s="105" customFormat="1">
      <c r="B549" s="107"/>
    </row>
    <row r="550" spans="2:2" s="105" customFormat="1">
      <c r="B550" s="107"/>
    </row>
    <row r="551" spans="2:2" s="105" customFormat="1">
      <c r="B551" s="107"/>
    </row>
    <row r="552" spans="2:2" s="105" customFormat="1">
      <c r="B552" s="107"/>
    </row>
    <row r="553" spans="2:2" s="105" customFormat="1">
      <c r="B553" s="107"/>
    </row>
    <row r="554" spans="2:2" s="105" customFormat="1">
      <c r="B554" s="107"/>
    </row>
    <row r="555" spans="2:2" s="105" customFormat="1">
      <c r="B555" s="107"/>
    </row>
    <row r="556" spans="2:2" s="105" customFormat="1">
      <c r="B556" s="107"/>
    </row>
    <row r="557" spans="2:2" s="105" customFormat="1">
      <c r="B557" s="107"/>
    </row>
    <row r="558" spans="2:2" s="105" customFormat="1">
      <c r="B558" s="107"/>
    </row>
    <row r="559" spans="2:2" s="105" customFormat="1">
      <c r="B559" s="107"/>
    </row>
    <row r="560" spans="2:2" s="105" customFormat="1">
      <c r="B560" s="107"/>
    </row>
    <row r="561" spans="2:2" s="105" customFormat="1">
      <c r="B561" s="107"/>
    </row>
    <row r="562" spans="2:2" s="105" customFormat="1">
      <c r="B562" s="107"/>
    </row>
    <row r="563" spans="2:2" s="105" customFormat="1">
      <c r="B563" s="107"/>
    </row>
    <row r="564" spans="2:2" s="105" customFormat="1">
      <c r="B564" s="107"/>
    </row>
    <row r="565" spans="2:2" s="105" customFormat="1">
      <c r="B565" s="107"/>
    </row>
    <row r="566" spans="2:2" s="105" customFormat="1">
      <c r="B566" s="107"/>
    </row>
    <row r="567" spans="2:2" s="105" customFormat="1">
      <c r="B567" s="107"/>
    </row>
    <row r="568" spans="2:2" s="105" customFormat="1">
      <c r="B568" s="107"/>
    </row>
    <row r="569" spans="2:2" s="105" customFormat="1">
      <c r="B569" s="107"/>
    </row>
    <row r="570" spans="2:2" s="105" customFormat="1">
      <c r="B570" s="107"/>
    </row>
    <row r="571" spans="2:2" s="105" customFormat="1">
      <c r="B571" s="107"/>
    </row>
    <row r="572" spans="2:2" s="105" customFormat="1">
      <c r="B572" s="107"/>
    </row>
    <row r="573" spans="2:2" s="105" customFormat="1">
      <c r="B573" s="107"/>
    </row>
    <row r="574" spans="2:2" s="105" customFormat="1">
      <c r="B574" s="107"/>
    </row>
    <row r="575" spans="2:2" s="105" customFormat="1">
      <c r="B575" s="107"/>
    </row>
    <row r="576" spans="2:2" s="105" customFormat="1">
      <c r="B576" s="107"/>
    </row>
    <row r="577" spans="2:2" s="105" customFormat="1">
      <c r="B577" s="107"/>
    </row>
    <row r="578" spans="2:2" s="105" customFormat="1">
      <c r="B578" s="107"/>
    </row>
    <row r="579" spans="2:2" s="105" customFormat="1">
      <c r="B579" s="107"/>
    </row>
    <row r="580" spans="2:2" s="105" customFormat="1">
      <c r="B580" s="107"/>
    </row>
    <row r="581" spans="2:2" s="105" customFormat="1">
      <c r="B581" s="107"/>
    </row>
    <row r="582" spans="2:2" s="105" customFormat="1">
      <c r="B582" s="107"/>
    </row>
    <row r="583" spans="2:2" s="105" customFormat="1">
      <c r="B583" s="107"/>
    </row>
    <row r="584" spans="2:2" s="105" customFormat="1">
      <c r="B584" s="107"/>
    </row>
    <row r="585" spans="2:2" s="105" customFormat="1">
      <c r="B585" s="107"/>
    </row>
    <row r="586" spans="2:2" s="105" customFormat="1">
      <c r="B586" s="107"/>
    </row>
    <row r="587" spans="2:2" s="105" customFormat="1">
      <c r="B587" s="107"/>
    </row>
    <row r="588" spans="2:2" s="105" customFormat="1">
      <c r="B588" s="107"/>
    </row>
    <row r="589" spans="2:2" s="105" customFormat="1">
      <c r="B589" s="107"/>
    </row>
    <row r="590" spans="2:2" s="105" customFormat="1">
      <c r="B590" s="107"/>
    </row>
    <row r="591" spans="2:2" s="105" customFormat="1">
      <c r="B591" s="107"/>
    </row>
    <row r="592" spans="2:2" s="105" customFormat="1">
      <c r="B592" s="107"/>
    </row>
    <row r="593" spans="2:2" s="105" customFormat="1">
      <c r="B593" s="107"/>
    </row>
    <row r="594" spans="2:2" s="105" customFormat="1">
      <c r="B594" s="107"/>
    </row>
    <row r="595" spans="2:2" s="105" customFormat="1">
      <c r="B595" s="107"/>
    </row>
    <row r="596" spans="2:2" s="105" customFormat="1">
      <c r="B596" s="107"/>
    </row>
    <row r="597" spans="2:2" s="105" customFormat="1">
      <c r="B597" s="107"/>
    </row>
    <row r="598" spans="2:2" s="105" customFormat="1">
      <c r="B598" s="107"/>
    </row>
    <row r="599" spans="2:2" s="105" customFormat="1">
      <c r="B599" s="107"/>
    </row>
    <row r="600" spans="2:2" s="105" customFormat="1">
      <c r="B600" s="107"/>
    </row>
    <row r="601" spans="2:2" s="105" customFormat="1">
      <c r="B601" s="107"/>
    </row>
    <row r="602" spans="2:2" s="105" customFormat="1">
      <c r="B602" s="107"/>
    </row>
    <row r="603" spans="2:2" s="105" customFormat="1">
      <c r="B603" s="107"/>
    </row>
    <row r="604" spans="2:2" s="105" customFormat="1">
      <c r="B604" s="107"/>
    </row>
    <row r="605" spans="2:2" s="105" customFormat="1">
      <c r="B605" s="107"/>
    </row>
    <row r="606" spans="2:2" s="105" customFormat="1">
      <c r="B606" s="107"/>
    </row>
    <row r="607" spans="2:2" s="105" customFormat="1">
      <c r="B607" s="107"/>
    </row>
    <row r="608" spans="2:2" s="105" customFormat="1">
      <c r="B608" s="107"/>
    </row>
    <row r="609" spans="2:2" s="105" customFormat="1">
      <c r="B609" s="107"/>
    </row>
    <row r="610" spans="2:2" s="105" customFormat="1">
      <c r="B610" s="107"/>
    </row>
    <row r="611" spans="2:2" s="105" customFormat="1">
      <c r="B611" s="107"/>
    </row>
    <row r="612" spans="2:2" s="105" customFormat="1">
      <c r="B612" s="107"/>
    </row>
    <row r="613" spans="2:2" s="105" customFormat="1">
      <c r="B613" s="107"/>
    </row>
    <row r="614" spans="2:2" s="105" customFormat="1">
      <c r="B614" s="107"/>
    </row>
    <row r="615" spans="2:2" s="105" customFormat="1">
      <c r="B615" s="107"/>
    </row>
    <row r="616" spans="2:2" s="105" customFormat="1">
      <c r="B616" s="107"/>
    </row>
    <row r="617" spans="2:2" s="105" customFormat="1">
      <c r="B617" s="107"/>
    </row>
    <row r="618" spans="2:2" s="105" customFormat="1">
      <c r="B618" s="107"/>
    </row>
    <row r="619" spans="2:2" s="105" customFormat="1">
      <c r="B619" s="107"/>
    </row>
    <row r="620" spans="2:2" s="105" customFormat="1">
      <c r="B620" s="107"/>
    </row>
    <row r="621" spans="2:2" s="105" customFormat="1">
      <c r="B621" s="107"/>
    </row>
    <row r="622" spans="2:2" s="105" customFormat="1">
      <c r="B622" s="107"/>
    </row>
    <row r="623" spans="2:2" s="105" customFormat="1">
      <c r="B623" s="107"/>
    </row>
    <row r="624" spans="2:2" s="105" customFormat="1">
      <c r="B624" s="107"/>
    </row>
    <row r="625" spans="2:2" s="105" customFormat="1">
      <c r="B625" s="107"/>
    </row>
    <row r="626" spans="2:2" s="105" customFormat="1">
      <c r="B626" s="107"/>
    </row>
    <row r="627" spans="2:2" s="105" customFormat="1">
      <c r="B627" s="107"/>
    </row>
    <row r="628" spans="2:2" s="105" customFormat="1">
      <c r="B628" s="107"/>
    </row>
    <row r="629" spans="2:2" s="105" customFormat="1">
      <c r="B629" s="107"/>
    </row>
    <row r="630" spans="2:2" s="105" customFormat="1">
      <c r="B630" s="107"/>
    </row>
    <row r="631" spans="2:2" s="105" customFormat="1">
      <c r="B631" s="107"/>
    </row>
    <row r="632" spans="2:2" s="105" customFormat="1">
      <c r="B632" s="107"/>
    </row>
    <row r="633" spans="2:2" s="105" customFormat="1">
      <c r="B633" s="107"/>
    </row>
    <row r="634" spans="2:2" s="105" customFormat="1">
      <c r="B634" s="107"/>
    </row>
    <row r="635" spans="2:2" s="105" customFormat="1">
      <c r="B635" s="107"/>
    </row>
    <row r="636" spans="2:2" s="105" customFormat="1">
      <c r="B636" s="107"/>
    </row>
    <row r="637" spans="2:2" s="105" customFormat="1">
      <c r="B637" s="107"/>
    </row>
    <row r="638" spans="2:2" s="105" customFormat="1">
      <c r="B638" s="107"/>
    </row>
    <row r="639" spans="2:2" s="105" customFormat="1">
      <c r="B639" s="107"/>
    </row>
    <row r="640" spans="2:2" s="105" customFormat="1">
      <c r="B640" s="107"/>
    </row>
    <row r="641" spans="2:2" s="105" customFormat="1">
      <c r="B641" s="107"/>
    </row>
    <row r="642" spans="2:2" s="105" customFormat="1">
      <c r="B642" s="107"/>
    </row>
    <row r="643" spans="2:2" s="105" customFormat="1">
      <c r="B643" s="107"/>
    </row>
    <row r="644" spans="2:2" s="105" customFormat="1">
      <c r="B644" s="107"/>
    </row>
    <row r="645" spans="2:2" s="105" customFormat="1">
      <c r="B645" s="107"/>
    </row>
    <row r="646" spans="2:2" s="105" customFormat="1">
      <c r="B646" s="107"/>
    </row>
    <row r="647" spans="2:2" s="105" customFormat="1">
      <c r="B647" s="107"/>
    </row>
    <row r="648" spans="2:2" s="105" customFormat="1">
      <c r="B648" s="107"/>
    </row>
    <row r="649" spans="2:2" s="105" customFormat="1">
      <c r="B649" s="107"/>
    </row>
    <row r="650" spans="2:2" s="105" customFormat="1">
      <c r="B650" s="107"/>
    </row>
    <row r="651" spans="2:2" s="105" customFormat="1">
      <c r="B651" s="107"/>
    </row>
    <row r="652" spans="2:2" s="105" customFormat="1">
      <c r="B652" s="107"/>
    </row>
    <row r="653" spans="2:2" s="105" customFormat="1">
      <c r="B653" s="107"/>
    </row>
    <row r="654" spans="2:2" s="105" customFormat="1">
      <c r="B654" s="107"/>
    </row>
    <row r="655" spans="2:2" s="105" customFormat="1">
      <c r="B655" s="107"/>
    </row>
    <row r="656" spans="2:2" s="105" customFormat="1">
      <c r="B656" s="107"/>
    </row>
    <row r="657" spans="2:2" s="105" customFormat="1">
      <c r="B657" s="107"/>
    </row>
    <row r="658" spans="2:2" s="105" customFormat="1">
      <c r="B658" s="107"/>
    </row>
    <row r="659" spans="2:2" s="105" customFormat="1">
      <c r="B659" s="107"/>
    </row>
    <row r="660" spans="2:2" s="105" customFormat="1">
      <c r="B660" s="107"/>
    </row>
    <row r="661" spans="2:2" s="105" customFormat="1">
      <c r="B661" s="107"/>
    </row>
    <row r="662" spans="2:2" s="105" customFormat="1">
      <c r="B662" s="107"/>
    </row>
    <row r="663" spans="2:2" s="105" customFormat="1">
      <c r="B663" s="107"/>
    </row>
    <row r="664" spans="2:2" s="105" customFormat="1">
      <c r="B664" s="107"/>
    </row>
    <row r="665" spans="2:2" s="105" customFormat="1">
      <c r="B665" s="107"/>
    </row>
    <row r="666" spans="2:2" s="105" customFormat="1">
      <c r="B666" s="107"/>
    </row>
    <row r="667" spans="2:2" s="105" customFormat="1">
      <c r="B667" s="107"/>
    </row>
    <row r="668" spans="2:2" s="105" customFormat="1">
      <c r="B668" s="107"/>
    </row>
    <row r="669" spans="2:2" s="105" customFormat="1">
      <c r="B669" s="107"/>
    </row>
    <row r="670" spans="2:2" s="105" customFormat="1">
      <c r="B670" s="107"/>
    </row>
    <row r="671" spans="2:2" s="105" customFormat="1">
      <c r="B671" s="107"/>
    </row>
    <row r="672" spans="2:2" s="105" customFormat="1">
      <c r="B672" s="107"/>
    </row>
    <row r="673" spans="2:2" s="105" customFormat="1">
      <c r="B673" s="107"/>
    </row>
    <row r="674" spans="2:2" s="105" customFormat="1">
      <c r="B674" s="107"/>
    </row>
    <row r="675" spans="2:2" s="105" customFormat="1">
      <c r="B675" s="107"/>
    </row>
    <row r="676" spans="2:2" s="105" customFormat="1">
      <c r="B676" s="107"/>
    </row>
    <row r="677" spans="2:2" s="105" customFormat="1">
      <c r="B677" s="107"/>
    </row>
    <row r="678" spans="2:2" s="105" customFormat="1">
      <c r="B678" s="107"/>
    </row>
    <row r="679" spans="2:2" s="105" customFormat="1">
      <c r="B679" s="107"/>
    </row>
    <row r="680" spans="2:2" s="105" customFormat="1">
      <c r="B680" s="107"/>
    </row>
    <row r="681" spans="2:2" s="105" customFormat="1">
      <c r="B681" s="107"/>
    </row>
    <row r="682" spans="2:2" s="105" customFormat="1">
      <c r="B682" s="107"/>
    </row>
    <row r="683" spans="2:2" s="105" customFormat="1">
      <c r="B683" s="107"/>
    </row>
    <row r="684" spans="2:2" s="105" customFormat="1">
      <c r="B684" s="107"/>
    </row>
    <row r="685" spans="2:2" s="105" customFormat="1">
      <c r="B685" s="107"/>
    </row>
    <row r="686" spans="2:2" s="105" customFormat="1">
      <c r="B686" s="107"/>
    </row>
    <row r="687" spans="2:2" s="105" customFormat="1">
      <c r="B687" s="107"/>
    </row>
    <row r="688" spans="2:2" s="105" customFormat="1">
      <c r="B688" s="107"/>
    </row>
    <row r="689" spans="2:2" s="105" customFormat="1">
      <c r="B689" s="107"/>
    </row>
    <row r="690" spans="2:2" s="105" customFormat="1">
      <c r="B690" s="107"/>
    </row>
    <row r="691" spans="2:2" s="105" customFormat="1">
      <c r="B691" s="107"/>
    </row>
    <row r="692" spans="2:2" s="105" customFormat="1">
      <c r="B692" s="107"/>
    </row>
    <row r="693" spans="2:2" s="105" customFormat="1">
      <c r="B693" s="107"/>
    </row>
    <row r="694" spans="2:2" s="105" customFormat="1">
      <c r="B694" s="107"/>
    </row>
    <row r="695" spans="2:2" s="105" customFormat="1">
      <c r="B695" s="107"/>
    </row>
    <row r="696" spans="2:2" s="105" customFormat="1">
      <c r="B696" s="107"/>
    </row>
    <row r="697" spans="2:2" s="105" customFormat="1">
      <c r="B697" s="107"/>
    </row>
    <row r="698" spans="2:2" s="105" customFormat="1">
      <c r="B698" s="107"/>
    </row>
    <row r="699" spans="2:2" s="105" customFormat="1">
      <c r="B699" s="107"/>
    </row>
    <row r="700" spans="2:2" s="105" customFormat="1">
      <c r="B700" s="107"/>
    </row>
    <row r="701" spans="2:2" s="105" customFormat="1">
      <c r="B701" s="107"/>
    </row>
    <row r="702" spans="2:2" s="105" customFormat="1">
      <c r="B702" s="107"/>
    </row>
    <row r="703" spans="2:2" s="105" customFormat="1">
      <c r="B703" s="107"/>
    </row>
    <row r="704" spans="2:2" s="105" customFormat="1">
      <c r="B704" s="107"/>
    </row>
    <row r="705" spans="2:2" s="105" customFormat="1">
      <c r="B705" s="107"/>
    </row>
    <row r="706" spans="2:2" s="105" customFormat="1">
      <c r="B706" s="107"/>
    </row>
    <row r="707" spans="2:2" s="105" customFormat="1">
      <c r="B707" s="107"/>
    </row>
    <row r="708" spans="2:2" s="105" customFormat="1">
      <c r="B708" s="107"/>
    </row>
    <row r="709" spans="2:2" s="105" customFormat="1">
      <c r="B709" s="107"/>
    </row>
    <row r="710" spans="2:2" s="105" customFormat="1">
      <c r="B710" s="107"/>
    </row>
    <row r="711" spans="2:2" s="105" customFormat="1">
      <c r="B711" s="107"/>
    </row>
    <row r="712" spans="2:2" s="105" customFormat="1">
      <c r="B712" s="107"/>
    </row>
    <row r="713" spans="2:2" s="105" customFormat="1">
      <c r="B713" s="107"/>
    </row>
    <row r="714" spans="2:2" s="105" customFormat="1">
      <c r="B714" s="107"/>
    </row>
    <row r="715" spans="2:2" s="105" customFormat="1">
      <c r="B715" s="107"/>
    </row>
    <row r="716" spans="2:2" s="105" customFormat="1">
      <c r="B716" s="107"/>
    </row>
    <row r="717" spans="2:2" s="105" customFormat="1">
      <c r="B717" s="107"/>
    </row>
    <row r="718" spans="2:2" s="105" customFormat="1">
      <c r="B718" s="107"/>
    </row>
    <row r="719" spans="2:2" s="105" customFormat="1">
      <c r="B719" s="107"/>
    </row>
    <row r="720" spans="2:2" s="105" customFormat="1">
      <c r="B720" s="107"/>
    </row>
    <row r="721" spans="2:5" s="105" customFormat="1">
      <c r="B721" s="107"/>
    </row>
    <row r="722" spans="2:5" s="105" customFormat="1">
      <c r="B722" s="107"/>
    </row>
    <row r="723" spans="2:5" s="105" customFormat="1">
      <c r="B723" s="107"/>
    </row>
    <row r="724" spans="2:5" s="105" customFormat="1">
      <c r="B724" s="107"/>
    </row>
    <row r="725" spans="2:5" s="105" customFormat="1">
      <c r="B725" s="107"/>
    </row>
    <row r="726" spans="2:5" s="105" customFormat="1">
      <c r="B726" s="107"/>
    </row>
    <row r="727" spans="2:5" s="105" customFormat="1">
      <c r="B727" s="107"/>
    </row>
    <row r="728" spans="2:5" s="105" customFormat="1">
      <c r="B728" s="107"/>
    </row>
    <row r="729" spans="2:5" s="105" customFormat="1">
      <c r="B729" s="107"/>
    </row>
    <row r="730" spans="2:5" s="105" customFormat="1">
      <c r="B730" s="107"/>
    </row>
    <row r="731" spans="2:5" s="105" customFormat="1">
      <c r="B731" s="107"/>
      <c r="E731" s="105">
        <v>0</v>
      </c>
    </row>
    <row r="732" spans="2:5" s="105" customFormat="1">
      <c r="B732" s="107"/>
    </row>
    <row r="733" spans="2:5" s="105" customFormat="1">
      <c r="B733" s="107"/>
    </row>
    <row r="734" spans="2:5" s="105" customFormat="1">
      <c r="B734" s="107"/>
    </row>
    <row r="735" spans="2:5" s="105" customFormat="1">
      <c r="B735" s="107"/>
    </row>
    <row r="736" spans="2:5" s="105" customFormat="1">
      <c r="B736" s="107"/>
    </row>
    <row r="737" spans="2:2" s="105" customFormat="1">
      <c r="B737" s="107"/>
    </row>
    <row r="738" spans="2:2" s="105" customFormat="1">
      <c r="B738" s="107"/>
    </row>
    <row r="739" spans="2:2" s="105" customFormat="1">
      <c r="B739" s="107"/>
    </row>
    <row r="740" spans="2:2" s="105" customFormat="1">
      <c r="B740" s="107"/>
    </row>
    <row r="741" spans="2:2" s="105" customFormat="1">
      <c r="B741" s="107"/>
    </row>
    <row r="742" spans="2:2" s="105" customFormat="1">
      <c r="B742" s="107"/>
    </row>
    <row r="743" spans="2:2" s="105" customFormat="1">
      <c r="B743" s="107"/>
    </row>
    <row r="744" spans="2:2" s="105" customFormat="1">
      <c r="B744" s="107"/>
    </row>
    <row r="745" spans="2:2" s="105" customFormat="1">
      <c r="B745" s="107"/>
    </row>
    <row r="746" spans="2:2" s="105" customFormat="1">
      <c r="B746" s="107"/>
    </row>
    <row r="747" spans="2:2" s="105" customFormat="1">
      <c r="B747" s="107"/>
    </row>
    <row r="748" spans="2:2" s="105" customFormat="1">
      <c r="B748" s="107"/>
    </row>
    <row r="749" spans="2:2" s="105" customFormat="1">
      <c r="B749" s="107"/>
    </row>
    <row r="750" spans="2:2" s="105" customFormat="1">
      <c r="B750" s="107"/>
    </row>
    <row r="751" spans="2:2" s="105" customFormat="1">
      <c r="B751" s="107"/>
    </row>
    <row r="752" spans="2:2" s="105" customFormat="1">
      <c r="B752" s="107"/>
    </row>
    <row r="753" spans="2:2" s="105" customFormat="1">
      <c r="B753" s="107"/>
    </row>
    <row r="754" spans="2:2" s="105" customFormat="1">
      <c r="B754" s="107"/>
    </row>
    <row r="755" spans="2:2" s="105" customFormat="1">
      <c r="B755" s="107"/>
    </row>
    <row r="756" spans="2:2" s="105" customFormat="1">
      <c r="B756" s="107"/>
    </row>
    <row r="757" spans="2:2" s="105" customFormat="1">
      <c r="B757" s="107"/>
    </row>
    <row r="758" spans="2:2" s="105" customFormat="1">
      <c r="B758" s="107"/>
    </row>
    <row r="759" spans="2:2" s="105" customFormat="1">
      <c r="B759" s="107"/>
    </row>
    <row r="760" spans="2:2" s="105" customFormat="1">
      <c r="B760" s="107"/>
    </row>
    <row r="761" spans="2:2" s="105" customFormat="1">
      <c r="B761" s="107"/>
    </row>
    <row r="762" spans="2:2" s="105" customFormat="1">
      <c r="B762" s="107"/>
    </row>
    <row r="763" spans="2:2" s="105" customFormat="1">
      <c r="B763" s="107"/>
    </row>
    <row r="764" spans="2:2" s="105" customFormat="1">
      <c r="B764" s="107"/>
    </row>
    <row r="765" spans="2:2" s="105" customFormat="1">
      <c r="B765" s="107"/>
    </row>
    <row r="766" spans="2:2" s="105" customFormat="1">
      <c r="B766" s="107"/>
    </row>
    <row r="767" spans="2:2" s="105" customFormat="1">
      <c r="B767" s="107"/>
    </row>
    <row r="768" spans="2:2" s="105" customFormat="1">
      <c r="B768" s="107"/>
    </row>
    <row r="769" spans="2:2" s="105" customFormat="1">
      <c r="B769" s="107"/>
    </row>
    <row r="770" spans="2:2" s="105" customFormat="1">
      <c r="B770" s="107"/>
    </row>
    <row r="771" spans="2:2" s="105" customFormat="1">
      <c r="B771" s="107"/>
    </row>
    <row r="772" spans="2:2" s="105" customFormat="1">
      <c r="B772" s="107"/>
    </row>
    <row r="773" spans="2:2" s="105" customFormat="1">
      <c r="B773" s="107"/>
    </row>
    <row r="774" spans="2:2" s="105" customFormat="1">
      <c r="B774" s="107"/>
    </row>
    <row r="775" spans="2:2" s="105" customFormat="1">
      <c r="B775" s="107"/>
    </row>
    <row r="776" spans="2:2" s="105" customFormat="1">
      <c r="B776" s="107"/>
    </row>
    <row r="777" spans="2:2" s="105" customFormat="1">
      <c r="B777" s="107"/>
    </row>
    <row r="778" spans="2:2" s="105" customFormat="1">
      <c r="B778" s="107"/>
    </row>
    <row r="779" spans="2:2" s="105" customFormat="1">
      <c r="B779" s="107"/>
    </row>
    <row r="780" spans="2:2" s="105" customFormat="1">
      <c r="B780" s="107"/>
    </row>
    <row r="781" spans="2:2" s="105" customFormat="1">
      <c r="B781" s="107"/>
    </row>
    <row r="782" spans="2:2" s="105" customFormat="1">
      <c r="B782" s="107"/>
    </row>
    <row r="783" spans="2:2" s="105" customFormat="1">
      <c r="B783" s="107"/>
    </row>
    <row r="784" spans="2:2" s="105" customFormat="1">
      <c r="B784" s="107"/>
    </row>
    <row r="785" spans="2:2" s="105" customFormat="1">
      <c r="B785" s="107"/>
    </row>
    <row r="786" spans="2:2" s="105" customFormat="1">
      <c r="B786" s="107"/>
    </row>
    <row r="787" spans="2:2" s="105" customFormat="1">
      <c r="B787" s="107"/>
    </row>
    <row r="788" spans="2:2" s="105" customFormat="1">
      <c r="B788" s="107"/>
    </row>
    <row r="789" spans="2:2" s="105" customFormat="1">
      <c r="B789" s="107"/>
    </row>
    <row r="790" spans="2:2" s="105" customFormat="1">
      <c r="B790" s="107"/>
    </row>
    <row r="791" spans="2:2" s="105" customFormat="1">
      <c r="B791" s="107"/>
    </row>
    <row r="792" spans="2:2" s="105" customFormat="1">
      <c r="B792" s="107"/>
    </row>
    <row r="793" spans="2:2" s="105" customFormat="1">
      <c r="B793" s="107"/>
    </row>
    <row r="794" spans="2:2" s="105" customFormat="1">
      <c r="B794" s="107"/>
    </row>
    <row r="795" spans="2:2" s="105" customFormat="1">
      <c r="B795" s="107"/>
    </row>
    <row r="796" spans="2:2" s="105" customFormat="1">
      <c r="B796" s="107"/>
    </row>
    <row r="797" spans="2:2" s="105" customFormat="1">
      <c r="B797" s="107"/>
    </row>
    <row r="798" spans="2:2" s="105" customFormat="1">
      <c r="B798" s="107"/>
    </row>
    <row r="799" spans="2:2" s="105" customFormat="1">
      <c r="B799" s="107"/>
    </row>
    <row r="800" spans="2:2" s="105" customFormat="1">
      <c r="B800" s="107"/>
    </row>
    <row r="801" spans="2:2" s="105" customFormat="1">
      <c r="B801" s="107"/>
    </row>
    <row r="802" spans="2:2" s="105" customFormat="1">
      <c r="B802" s="107"/>
    </row>
    <row r="803" spans="2:2" s="105" customFormat="1">
      <c r="B803" s="107"/>
    </row>
    <row r="804" spans="2:2" s="105" customFormat="1">
      <c r="B804" s="107"/>
    </row>
    <row r="805" spans="2:2" s="105" customFormat="1">
      <c r="B805" s="107"/>
    </row>
    <row r="806" spans="2:2" s="105" customFormat="1">
      <c r="B806" s="107"/>
    </row>
    <row r="807" spans="2:2" s="105" customFormat="1">
      <c r="B807" s="107"/>
    </row>
    <row r="808" spans="2:2" s="105" customFormat="1">
      <c r="B808" s="107"/>
    </row>
    <row r="809" spans="2:2" s="105" customFormat="1">
      <c r="B809" s="107"/>
    </row>
    <row r="810" spans="2:2" s="105" customFormat="1">
      <c r="B810" s="107"/>
    </row>
    <row r="811" spans="2:2" s="105" customFormat="1">
      <c r="B811" s="107"/>
    </row>
    <row r="812" spans="2:2" s="105" customFormat="1">
      <c r="B812" s="107"/>
    </row>
    <row r="813" spans="2:2" s="105" customFormat="1">
      <c r="B813" s="107"/>
    </row>
    <row r="814" spans="2:2" s="105" customFormat="1">
      <c r="B814" s="107"/>
    </row>
    <row r="815" spans="2:2" s="105" customFormat="1">
      <c r="B815" s="107"/>
    </row>
    <row r="816" spans="2:2" s="105" customFormat="1">
      <c r="B816" s="107"/>
    </row>
    <row r="817" spans="2:2" s="105" customFormat="1">
      <c r="B817" s="107"/>
    </row>
    <row r="818" spans="2:2" s="105" customFormat="1">
      <c r="B818" s="107"/>
    </row>
    <row r="819" spans="2:2" s="105" customFormat="1">
      <c r="B819" s="107"/>
    </row>
    <row r="820" spans="2:2" s="105" customFormat="1">
      <c r="B820" s="107"/>
    </row>
    <row r="821" spans="2:2" s="105" customFormat="1">
      <c r="B821" s="107"/>
    </row>
    <row r="822" spans="2:2" s="105" customFormat="1">
      <c r="B822" s="107"/>
    </row>
    <row r="823" spans="2:2" s="105" customFormat="1">
      <c r="B823" s="107"/>
    </row>
    <row r="824" spans="2:2" s="105" customFormat="1">
      <c r="B824" s="107"/>
    </row>
    <row r="825" spans="2:2" s="105" customFormat="1">
      <c r="B825" s="107"/>
    </row>
    <row r="826" spans="2:2" s="105" customFormat="1">
      <c r="B826" s="107"/>
    </row>
    <row r="827" spans="2:2" s="105" customFormat="1">
      <c r="B827" s="107"/>
    </row>
    <row r="828" spans="2:2" s="105" customFormat="1">
      <c r="B828" s="107"/>
    </row>
    <row r="829" spans="2:2" s="105" customFormat="1">
      <c r="B829" s="107"/>
    </row>
    <row r="830" spans="2:2" s="105" customFormat="1">
      <c r="B830" s="107"/>
    </row>
    <row r="831" spans="2:2" s="105" customFormat="1">
      <c r="B831" s="107"/>
    </row>
    <row r="832" spans="2:2" s="105" customFormat="1">
      <c r="B832" s="107"/>
    </row>
    <row r="833" spans="2:2" s="105" customFormat="1">
      <c r="B833" s="107"/>
    </row>
    <row r="834" spans="2:2" s="105" customFormat="1">
      <c r="B834" s="107"/>
    </row>
    <row r="835" spans="2:2" s="105" customFormat="1">
      <c r="B835" s="107"/>
    </row>
    <row r="836" spans="2:2" s="105" customFormat="1">
      <c r="B836" s="107"/>
    </row>
    <row r="837" spans="2:2" s="105" customFormat="1">
      <c r="B837" s="107"/>
    </row>
    <row r="838" spans="2:2" s="105" customFormat="1">
      <c r="B838" s="107"/>
    </row>
    <row r="839" spans="2:2" s="105" customFormat="1">
      <c r="B839" s="107"/>
    </row>
    <row r="840" spans="2:2" s="105" customFormat="1">
      <c r="B840" s="107"/>
    </row>
    <row r="841" spans="2:2" s="105" customFormat="1">
      <c r="B841" s="107"/>
    </row>
    <row r="842" spans="2:2" s="105" customFormat="1">
      <c r="B842" s="107"/>
    </row>
    <row r="843" spans="2:2" s="105" customFormat="1">
      <c r="B843" s="107"/>
    </row>
    <row r="844" spans="2:2" s="105" customFormat="1">
      <c r="B844" s="107"/>
    </row>
    <row r="845" spans="2:2" s="105" customFormat="1">
      <c r="B845" s="107"/>
    </row>
    <row r="846" spans="2:2" s="105" customFormat="1">
      <c r="B846" s="107"/>
    </row>
    <row r="847" spans="2:2" s="105" customFormat="1">
      <c r="B847" s="107"/>
    </row>
    <row r="848" spans="2:2" s="105" customFormat="1">
      <c r="B848" s="107"/>
    </row>
    <row r="849" spans="2:2" s="105" customFormat="1">
      <c r="B849" s="107"/>
    </row>
    <row r="850" spans="2:2" s="105" customFormat="1">
      <c r="B850" s="107"/>
    </row>
    <row r="851" spans="2:2" s="105" customFormat="1">
      <c r="B851" s="107"/>
    </row>
    <row r="852" spans="2:2" s="105" customFormat="1">
      <c r="B852" s="107"/>
    </row>
    <row r="853" spans="2:2" s="105" customFormat="1">
      <c r="B853" s="107"/>
    </row>
    <row r="854" spans="2:2" s="105" customFormat="1">
      <c r="B854" s="107"/>
    </row>
    <row r="855" spans="2:2" s="105" customFormat="1">
      <c r="B855" s="107"/>
    </row>
    <row r="856" spans="2:2" s="105" customFormat="1">
      <c r="B856" s="107"/>
    </row>
    <row r="857" spans="2:2" s="105" customFormat="1">
      <c r="B857" s="107"/>
    </row>
    <row r="858" spans="2:2" s="105" customFormat="1">
      <c r="B858" s="107"/>
    </row>
    <row r="859" spans="2:2" s="105" customFormat="1">
      <c r="B859" s="107"/>
    </row>
    <row r="860" spans="2:2" s="105" customFormat="1">
      <c r="B860" s="107"/>
    </row>
    <row r="861" spans="2:2" s="105" customFormat="1">
      <c r="B861" s="107"/>
    </row>
    <row r="862" spans="2:2" s="105" customFormat="1">
      <c r="B862" s="107"/>
    </row>
    <row r="863" spans="2:2" s="105" customFormat="1">
      <c r="B863" s="107"/>
    </row>
    <row r="864" spans="2:2" s="105" customFormat="1">
      <c r="B864" s="107"/>
    </row>
    <row r="865" spans="2:2" s="105" customFormat="1">
      <c r="B865" s="107"/>
    </row>
    <row r="866" spans="2:2" s="105" customFormat="1">
      <c r="B866" s="107"/>
    </row>
    <row r="867" spans="2:2" s="105" customFormat="1">
      <c r="B867" s="107"/>
    </row>
    <row r="868" spans="2:2" s="105" customFormat="1">
      <c r="B868" s="107"/>
    </row>
    <row r="869" spans="2:2" s="105" customFormat="1">
      <c r="B869" s="107"/>
    </row>
    <row r="870" spans="2:2" s="105" customFormat="1">
      <c r="B870" s="107"/>
    </row>
    <row r="871" spans="2:2" s="105" customFormat="1">
      <c r="B871" s="107"/>
    </row>
    <row r="872" spans="2:2" s="105" customFormat="1">
      <c r="B872" s="107"/>
    </row>
    <row r="873" spans="2:2" s="105" customFormat="1">
      <c r="B873" s="107"/>
    </row>
    <row r="874" spans="2:2" s="105" customFormat="1">
      <c r="B874" s="107"/>
    </row>
    <row r="875" spans="2:2" s="105" customFormat="1">
      <c r="B875" s="107"/>
    </row>
    <row r="876" spans="2:2" s="105" customFormat="1">
      <c r="B876" s="107"/>
    </row>
    <row r="877" spans="2:2" s="105" customFormat="1">
      <c r="B877" s="107"/>
    </row>
    <row r="878" spans="2:2" s="105" customFormat="1">
      <c r="B878" s="107"/>
    </row>
    <row r="879" spans="2:2" s="105" customFormat="1">
      <c r="B879" s="107"/>
    </row>
    <row r="880" spans="2:2" s="105" customFormat="1">
      <c r="B880" s="107"/>
    </row>
    <row r="881" spans="2:2" s="105" customFormat="1">
      <c r="B881" s="107"/>
    </row>
    <row r="882" spans="2:2" s="105" customFormat="1">
      <c r="B882" s="107"/>
    </row>
    <row r="883" spans="2:2" s="105" customFormat="1">
      <c r="B883" s="107"/>
    </row>
    <row r="884" spans="2:2" s="105" customFormat="1">
      <c r="B884" s="107"/>
    </row>
    <row r="885" spans="2:2" s="105" customFormat="1">
      <c r="B885" s="107"/>
    </row>
    <row r="886" spans="2:2" s="105" customFormat="1">
      <c r="B886" s="107"/>
    </row>
    <row r="887" spans="2:2" s="105" customFormat="1">
      <c r="B887" s="107"/>
    </row>
    <row r="888" spans="2:2" s="105" customFormat="1">
      <c r="B888" s="107"/>
    </row>
    <row r="889" spans="2:2" s="105" customFormat="1">
      <c r="B889" s="107"/>
    </row>
    <row r="890" spans="2:2" s="105" customFormat="1">
      <c r="B890" s="107"/>
    </row>
    <row r="891" spans="2:2" s="105" customFormat="1">
      <c r="B891" s="107"/>
    </row>
    <row r="892" spans="2:2" s="105" customFormat="1">
      <c r="B892" s="107"/>
    </row>
    <row r="893" spans="2:2" s="105" customFormat="1">
      <c r="B893" s="107"/>
    </row>
    <row r="894" spans="2:2" s="105" customFormat="1">
      <c r="B894" s="107"/>
    </row>
    <row r="895" spans="2:2" s="105" customFormat="1">
      <c r="B895" s="107"/>
    </row>
    <row r="896" spans="2:2" s="105" customFormat="1">
      <c r="B896" s="107"/>
    </row>
    <row r="897" spans="2:2" s="105" customFormat="1">
      <c r="B897" s="107"/>
    </row>
    <row r="898" spans="2:2" s="105" customFormat="1">
      <c r="B898" s="107"/>
    </row>
    <row r="899" spans="2:2" s="105" customFormat="1">
      <c r="B899" s="107"/>
    </row>
    <row r="900" spans="2:2" s="105" customFormat="1">
      <c r="B900" s="107"/>
    </row>
    <row r="901" spans="2:2" s="105" customFormat="1">
      <c r="B901" s="107"/>
    </row>
    <row r="902" spans="2:2" s="105" customFormat="1">
      <c r="B902" s="107"/>
    </row>
    <row r="903" spans="2:2" s="105" customFormat="1">
      <c r="B903" s="107"/>
    </row>
    <row r="904" spans="2:2" s="105" customFormat="1">
      <c r="B904" s="107"/>
    </row>
    <row r="905" spans="2:2" s="105" customFormat="1">
      <c r="B905" s="107"/>
    </row>
    <row r="906" spans="2:2" s="105" customFormat="1">
      <c r="B906" s="107"/>
    </row>
    <row r="907" spans="2:2" s="105" customFormat="1">
      <c r="B907" s="107"/>
    </row>
    <row r="908" spans="2:2" s="105" customFormat="1">
      <c r="B908" s="107"/>
    </row>
    <row r="909" spans="2:2" s="105" customFormat="1">
      <c r="B909" s="107"/>
    </row>
    <row r="910" spans="2:2" s="105" customFormat="1">
      <c r="B910" s="107"/>
    </row>
    <row r="911" spans="2:2" s="105" customFormat="1">
      <c r="B911" s="107"/>
    </row>
    <row r="912" spans="2:2" s="105" customFormat="1">
      <c r="B912" s="107"/>
    </row>
    <row r="913" spans="2:2" s="105" customFormat="1">
      <c r="B913" s="107"/>
    </row>
    <row r="914" spans="2:2" s="105" customFormat="1">
      <c r="B914" s="107"/>
    </row>
    <row r="915" spans="2:2" s="105" customFormat="1">
      <c r="B915" s="107"/>
    </row>
    <row r="916" spans="2:2" s="105" customFormat="1">
      <c r="B916" s="107"/>
    </row>
    <row r="917" spans="2:2" s="105" customFormat="1">
      <c r="B917" s="107"/>
    </row>
    <row r="918" spans="2:2" s="105" customFormat="1">
      <c r="B918" s="107"/>
    </row>
    <row r="919" spans="2:2" s="105" customFormat="1">
      <c r="B919" s="107"/>
    </row>
    <row r="920" spans="2:2" s="105" customFormat="1">
      <c r="B920" s="107"/>
    </row>
    <row r="921" spans="2:2" s="105" customFormat="1">
      <c r="B921" s="107"/>
    </row>
    <row r="922" spans="2:2" s="105" customFormat="1">
      <c r="B922" s="107"/>
    </row>
    <row r="923" spans="2:2" s="105" customFormat="1">
      <c r="B923" s="107"/>
    </row>
    <row r="924" spans="2:2" s="105" customFormat="1">
      <c r="B924" s="107"/>
    </row>
    <row r="925" spans="2:2" s="105" customFormat="1">
      <c r="B925" s="107"/>
    </row>
    <row r="926" spans="2:2" s="105" customFormat="1">
      <c r="B926" s="107"/>
    </row>
    <row r="927" spans="2:2" s="105" customFormat="1">
      <c r="B927" s="107"/>
    </row>
    <row r="928" spans="2:2" s="105" customFormat="1">
      <c r="B928" s="107"/>
    </row>
    <row r="929" spans="2:2" s="105" customFormat="1">
      <c r="B929" s="107"/>
    </row>
    <row r="930" spans="2:2" s="105" customFormat="1">
      <c r="B930" s="107"/>
    </row>
    <row r="931" spans="2:2" s="105" customFormat="1">
      <c r="B931" s="107"/>
    </row>
    <row r="932" spans="2:2" s="105" customFormat="1">
      <c r="B932" s="107"/>
    </row>
    <row r="933" spans="2:2" s="105" customFormat="1">
      <c r="B933" s="107"/>
    </row>
    <row r="934" spans="2:2" s="105" customFormat="1">
      <c r="B934" s="107"/>
    </row>
    <row r="935" spans="2:2" s="105" customFormat="1">
      <c r="B935" s="107"/>
    </row>
    <row r="936" spans="2:2" s="105" customFormat="1">
      <c r="B936" s="107"/>
    </row>
    <row r="937" spans="2:2" s="105" customFormat="1">
      <c r="B937" s="107"/>
    </row>
    <row r="938" spans="2:2" s="105" customFormat="1">
      <c r="B938" s="107"/>
    </row>
    <row r="939" spans="2:2" s="105" customFormat="1">
      <c r="B939" s="107"/>
    </row>
    <row r="940" spans="2:2" s="105" customFormat="1">
      <c r="B940" s="107"/>
    </row>
    <row r="941" spans="2:2" s="105" customFormat="1">
      <c r="B941" s="107"/>
    </row>
    <row r="942" spans="2:2" s="105" customFormat="1">
      <c r="B942" s="107"/>
    </row>
    <row r="943" spans="2:2" s="105" customFormat="1">
      <c r="B943" s="107"/>
    </row>
    <row r="944" spans="2:2" s="105" customFormat="1">
      <c r="B944" s="107"/>
    </row>
    <row r="945" spans="2:2" s="105" customFormat="1">
      <c r="B945" s="107"/>
    </row>
    <row r="946" spans="2:2" s="105" customFormat="1">
      <c r="B946" s="107"/>
    </row>
    <row r="947" spans="2:2" s="105" customFormat="1">
      <c r="B947" s="107"/>
    </row>
    <row r="948" spans="2:2" s="105" customFormat="1">
      <c r="B948" s="107"/>
    </row>
    <row r="949" spans="2:2" s="105" customFormat="1">
      <c r="B949" s="107"/>
    </row>
    <row r="950" spans="2:2" s="105" customFormat="1">
      <c r="B950" s="107"/>
    </row>
    <row r="951" spans="2:2" s="105" customFormat="1">
      <c r="B951" s="107"/>
    </row>
    <row r="952" spans="2:2" s="105" customFormat="1">
      <c r="B952" s="107"/>
    </row>
    <row r="953" spans="2:2" s="105" customFormat="1">
      <c r="B953" s="107"/>
    </row>
    <row r="954" spans="2:2" s="105" customFormat="1">
      <c r="B954" s="107"/>
    </row>
    <row r="955" spans="2:2" s="105" customFormat="1">
      <c r="B955" s="107"/>
    </row>
    <row r="956" spans="2:2" s="105" customFormat="1">
      <c r="B956" s="107"/>
    </row>
    <row r="957" spans="2:2" s="105" customFormat="1">
      <c r="B957" s="107"/>
    </row>
    <row r="958" spans="2:2" s="105" customFormat="1">
      <c r="B958" s="107"/>
    </row>
    <row r="959" spans="2:2" s="105" customFormat="1">
      <c r="B959" s="107"/>
    </row>
    <row r="960" spans="2:2" s="105" customFormat="1">
      <c r="B960" s="107"/>
    </row>
    <row r="961" spans="2:2" s="105" customFormat="1">
      <c r="B961" s="107"/>
    </row>
    <row r="962" spans="2:2" s="105" customFormat="1">
      <c r="B962" s="107"/>
    </row>
    <row r="963" spans="2:2" s="105" customFormat="1">
      <c r="B963" s="107"/>
    </row>
    <row r="964" spans="2:2" s="105" customFormat="1">
      <c r="B964" s="107"/>
    </row>
    <row r="965" spans="2:2" s="105" customFormat="1">
      <c r="B965" s="107"/>
    </row>
    <row r="966" spans="2:2" s="105" customFormat="1">
      <c r="B966" s="107"/>
    </row>
    <row r="967" spans="2:2" s="105" customFormat="1">
      <c r="B967" s="107"/>
    </row>
    <row r="968" spans="2:2" s="105" customFormat="1">
      <c r="B968" s="107"/>
    </row>
    <row r="969" spans="2:2" s="105" customFormat="1">
      <c r="B969" s="107"/>
    </row>
    <row r="970" spans="2:2" s="105" customFormat="1">
      <c r="B970" s="107"/>
    </row>
    <row r="971" spans="2:2" s="105" customFormat="1">
      <c r="B971" s="107"/>
    </row>
    <row r="972" spans="2:2" s="105" customFormat="1">
      <c r="B972" s="107"/>
    </row>
    <row r="973" spans="2:2" s="105" customFormat="1">
      <c r="B973" s="107"/>
    </row>
    <row r="974" spans="2:2" s="105" customFormat="1">
      <c r="B974" s="107"/>
    </row>
    <row r="975" spans="2:2" s="105" customFormat="1">
      <c r="B975" s="107"/>
    </row>
    <row r="976" spans="2:2" s="105" customFormat="1">
      <c r="B976" s="107"/>
    </row>
    <row r="977" spans="2:2" s="105" customFormat="1">
      <c r="B977" s="107"/>
    </row>
    <row r="978" spans="2:2" s="105" customFormat="1">
      <c r="B978" s="107"/>
    </row>
    <row r="979" spans="2:2" s="105" customFormat="1">
      <c r="B979" s="107"/>
    </row>
    <row r="980" spans="2:2" s="105" customFormat="1">
      <c r="B980" s="107"/>
    </row>
    <row r="981" spans="2:2" s="105" customFormat="1">
      <c r="B981" s="107"/>
    </row>
    <row r="982" spans="2:2" s="105" customFormat="1">
      <c r="B982" s="107"/>
    </row>
    <row r="983" spans="2:2" s="105" customFormat="1">
      <c r="B983" s="107"/>
    </row>
    <row r="984" spans="2:2" s="105" customFormat="1">
      <c r="B984" s="107"/>
    </row>
    <row r="985" spans="2:2" s="105" customFormat="1">
      <c r="B985" s="107"/>
    </row>
    <row r="986" spans="2:2" s="105" customFormat="1">
      <c r="B986" s="107"/>
    </row>
    <row r="987" spans="2:2" s="105" customFormat="1">
      <c r="B987" s="107"/>
    </row>
    <row r="988" spans="2:2" s="105" customFormat="1">
      <c r="B988" s="107"/>
    </row>
    <row r="989" spans="2:2" s="105" customFormat="1">
      <c r="B989" s="107"/>
    </row>
    <row r="990" spans="2:2" s="105" customFormat="1">
      <c r="B990" s="107"/>
    </row>
    <row r="991" spans="2:2" s="105" customFormat="1">
      <c r="B991" s="107"/>
    </row>
    <row r="992" spans="2:2" s="105" customFormat="1">
      <c r="B992" s="107"/>
    </row>
    <row r="993" spans="2:2" s="105" customFormat="1">
      <c r="B993" s="107"/>
    </row>
    <row r="994" spans="2:2" s="105" customFormat="1">
      <c r="B994" s="107"/>
    </row>
    <row r="995" spans="2:2" s="105" customFormat="1">
      <c r="B995" s="107"/>
    </row>
    <row r="996" spans="2:2" s="105" customFormat="1">
      <c r="B996" s="107"/>
    </row>
    <row r="997" spans="2:2" s="105" customFormat="1">
      <c r="B997" s="107"/>
    </row>
    <row r="998" spans="2:2" s="105" customFormat="1">
      <c r="B998" s="107"/>
    </row>
    <row r="999" spans="2:2" s="105" customFormat="1">
      <c r="B999" s="107"/>
    </row>
    <row r="1000" spans="2:2" s="105" customFormat="1">
      <c r="B1000" s="107"/>
    </row>
    <row r="1001" spans="2:2" s="105" customFormat="1">
      <c r="B1001" s="107"/>
    </row>
    <row r="1002" spans="2:2" s="105" customFormat="1">
      <c r="B1002" s="107"/>
    </row>
    <row r="1003" spans="2:2" s="105" customFormat="1">
      <c r="B1003" s="107"/>
    </row>
    <row r="1004" spans="2:2" s="105" customFormat="1">
      <c r="B1004" s="107"/>
    </row>
    <row r="1005" spans="2:2" s="105" customFormat="1">
      <c r="B1005" s="107"/>
    </row>
    <row r="1006" spans="2:2" s="105" customFormat="1">
      <c r="B1006" s="107"/>
    </row>
    <row r="1007" spans="2:2" s="105" customFormat="1">
      <c r="B1007" s="107"/>
    </row>
    <row r="1008" spans="2:2" s="105" customFormat="1">
      <c r="B1008" s="107"/>
    </row>
    <row r="1009" spans="2:2" s="105" customFormat="1">
      <c r="B1009" s="107"/>
    </row>
    <row r="1010" spans="2:2" s="105" customFormat="1">
      <c r="B1010" s="107"/>
    </row>
    <row r="1011" spans="2:2" s="105" customFormat="1">
      <c r="B1011" s="107"/>
    </row>
    <row r="1012" spans="2:2" s="105" customFormat="1">
      <c r="B1012" s="107"/>
    </row>
    <row r="1013" spans="2:2" s="105" customFormat="1">
      <c r="B1013" s="107"/>
    </row>
    <row r="1014" spans="2:2" s="105" customFormat="1">
      <c r="B1014" s="107"/>
    </row>
    <row r="1015" spans="2:2" s="105" customFormat="1">
      <c r="B1015" s="107"/>
    </row>
    <row r="1016" spans="2:2" s="105" customFormat="1">
      <c r="B1016" s="107"/>
    </row>
    <row r="1017" spans="2:2" s="105" customFormat="1">
      <c r="B1017" s="107"/>
    </row>
    <row r="1018" spans="2:2" s="105" customFormat="1">
      <c r="B1018" s="107"/>
    </row>
    <row r="1019" spans="2:2" s="105" customFormat="1">
      <c r="B1019" s="107"/>
    </row>
    <row r="1020" spans="2:2" s="105" customFormat="1">
      <c r="B1020" s="107"/>
    </row>
    <row r="1021" spans="2:2" s="105" customFormat="1">
      <c r="B1021" s="107"/>
    </row>
    <row r="1022" spans="2:2" s="105" customFormat="1">
      <c r="B1022" s="107"/>
    </row>
    <row r="1023" spans="2:2" s="105" customFormat="1">
      <c r="B1023" s="107"/>
    </row>
    <row r="1024" spans="2:2" s="105" customFormat="1">
      <c r="B1024" s="107"/>
    </row>
    <row r="1025" spans="2:2" s="105" customFormat="1">
      <c r="B1025" s="107"/>
    </row>
    <row r="1026" spans="2:2" s="105" customFormat="1">
      <c r="B1026" s="107"/>
    </row>
    <row r="1027" spans="2:2" s="105" customFormat="1">
      <c r="B1027" s="107"/>
    </row>
    <row r="1028" spans="2:2" s="105" customFormat="1">
      <c r="B1028" s="107"/>
    </row>
    <row r="1029" spans="2:2" s="105" customFormat="1">
      <c r="B1029" s="107"/>
    </row>
    <row r="1030" spans="2:2" s="105" customFormat="1">
      <c r="B1030" s="107"/>
    </row>
    <row r="1031" spans="2:2" s="105" customFormat="1">
      <c r="B1031" s="107"/>
    </row>
    <row r="1032" spans="2:2" s="105" customFormat="1">
      <c r="B1032" s="107"/>
    </row>
    <row r="1033" spans="2:2" s="105" customFormat="1">
      <c r="B1033" s="107"/>
    </row>
    <row r="1034" spans="2:2" s="105" customFormat="1">
      <c r="B1034" s="107"/>
    </row>
    <row r="1035" spans="2:2" s="105" customFormat="1">
      <c r="B1035" s="107"/>
    </row>
    <row r="1036" spans="2:2" s="105" customFormat="1">
      <c r="B1036" s="107"/>
    </row>
    <row r="1037" spans="2:2" s="105" customFormat="1">
      <c r="B1037" s="107"/>
    </row>
    <row r="1038" spans="2:2" s="105" customFormat="1">
      <c r="B1038" s="107"/>
    </row>
    <row r="1039" spans="2:2" s="105" customFormat="1">
      <c r="B1039" s="107"/>
    </row>
    <row r="1040" spans="2:2" s="105" customFormat="1">
      <c r="B1040" s="107"/>
    </row>
    <row r="1041" spans="2:2" s="105" customFormat="1">
      <c r="B1041" s="107"/>
    </row>
    <row r="1042" spans="2:2" s="105" customFormat="1">
      <c r="B1042" s="107"/>
    </row>
    <row r="1043" spans="2:2" s="105" customFormat="1">
      <c r="B1043" s="107"/>
    </row>
    <row r="1044" spans="2:2" s="105" customFormat="1">
      <c r="B1044" s="107"/>
    </row>
    <row r="1045" spans="2:2" s="105" customFormat="1">
      <c r="B1045" s="107"/>
    </row>
    <row r="1046" spans="2:2" s="105" customFormat="1">
      <c r="B1046" s="107"/>
    </row>
    <row r="1047" spans="2:2" s="105" customFormat="1">
      <c r="B1047" s="107"/>
    </row>
    <row r="1048" spans="2:2" s="105" customFormat="1">
      <c r="B1048" s="107"/>
    </row>
    <row r="1049" spans="2:2" s="105" customFormat="1">
      <c r="B1049" s="107"/>
    </row>
    <row r="1050" spans="2:2" s="105" customFormat="1">
      <c r="B1050" s="107"/>
    </row>
    <row r="1051" spans="2:2" s="105" customFormat="1">
      <c r="B1051" s="107"/>
    </row>
    <row r="1052" spans="2:2" s="105" customFormat="1">
      <c r="B1052" s="107"/>
    </row>
    <row r="1053" spans="2:2" s="105" customFormat="1">
      <c r="B1053" s="107"/>
    </row>
    <row r="1054" spans="2:2" s="105" customFormat="1">
      <c r="B1054" s="107"/>
    </row>
    <row r="1055" spans="2:2" s="105" customFormat="1">
      <c r="B1055" s="107"/>
    </row>
    <row r="1056" spans="2:2" s="105" customFormat="1">
      <c r="B1056" s="107"/>
    </row>
    <row r="1057" spans="2:2" s="105" customFormat="1">
      <c r="B1057" s="107"/>
    </row>
    <row r="1058" spans="2:2" s="105" customFormat="1">
      <c r="B1058" s="107"/>
    </row>
    <row r="1059" spans="2:2" s="105" customFormat="1">
      <c r="B1059" s="107"/>
    </row>
    <row r="1060" spans="2:2" s="105" customFormat="1">
      <c r="B1060" s="107"/>
    </row>
    <row r="1061" spans="2:2" s="105" customFormat="1">
      <c r="B1061" s="107"/>
    </row>
    <row r="1062" spans="2:2" s="105" customFormat="1">
      <c r="B1062" s="107"/>
    </row>
    <row r="1063" spans="2:2" s="105" customFormat="1">
      <c r="B1063" s="107"/>
    </row>
    <row r="1064" spans="2:2" s="105" customFormat="1">
      <c r="B1064" s="107"/>
    </row>
    <row r="1065" spans="2:2" s="105" customFormat="1">
      <c r="B1065" s="107"/>
    </row>
    <row r="1066" spans="2:2" s="105" customFormat="1">
      <c r="B1066" s="107"/>
    </row>
    <row r="1067" spans="2:2" s="105" customFormat="1">
      <c r="B1067" s="107"/>
    </row>
    <row r="1068" spans="2:2" s="105" customFormat="1">
      <c r="B1068" s="107"/>
    </row>
    <row r="1069" spans="2:2" s="105" customFormat="1">
      <c r="B1069" s="107"/>
    </row>
    <row r="1070" spans="2:2" s="105" customFormat="1">
      <c r="B1070" s="107"/>
    </row>
    <row r="1071" spans="2:2" s="105" customFormat="1">
      <c r="B1071" s="107"/>
    </row>
    <row r="1072" spans="2:2" s="105" customFormat="1">
      <c r="B1072" s="107"/>
    </row>
    <row r="1073" spans="2:2" s="105" customFormat="1">
      <c r="B1073" s="107"/>
    </row>
    <row r="1074" spans="2:2" s="105" customFormat="1">
      <c r="B1074" s="107"/>
    </row>
    <row r="1075" spans="2:2" s="105" customFormat="1">
      <c r="B1075" s="107"/>
    </row>
    <row r="1076" spans="2:2" s="105" customFormat="1">
      <c r="B1076" s="107"/>
    </row>
    <row r="1077" spans="2:2" s="105" customFormat="1">
      <c r="B1077" s="107"/>
    </row>
    <row r="1078" spans="2:2" s="105" customFormat="1">
      <c r="B1078" s="107"/>
    </row>
    <row r="1079" spans="2:2" s="105" customFormat="1">
      <c r="B1079" s="107"/>
    </row>
    <row r="1080" spans="2:2" s="105" customFormat="1">
      <c r="B1080" s="107"/>
    </row>
    <row r="1081" spans="2:2" s="105" customFormat="1">
      <c r="B1081" s="107"/>
    </row>
    <row r="1082" spans="2:2" s="105" customFormat="1">
      <c r="B1082" s="107"/>
    </row>
    <row r="1083" spans="2:2" s="105" customFormat="1">
      <c r="B1083" s="107"/>
    </row>
    <row r="1084" spans="2:2" s="105" customFormat="1">
      <c r="B1084" s="107"/>
    </row>
    <row r="1085" spans="2:2" s="105" customFormat="1">
      <c r="B1085" s="107"/>
    </row>
    <row r="1086" spans="2:2" s="105" customFormat="1">
      <c r="B1086" s="107"/>
    </row>
    <row r="1087" spans="2:2" s="105" customFormat="1">
      <c r="B1087" s="107"/>
    </row>
    <row r="1088" spans="2:2" s="105" customFormat="1">
      <c r="B1088" s="107"/>
    </row>
    <row r="1089" spans="2:2" s="105" customFormat="1">
      <c r="B1089" s="107"/>
    </row>
    <row r="1090" spans="2:2" s="105" customFormat="1">
      <c r="B1090" s="107"/>
    </row>
    <row r="1091" spans="2:2" s="105" customFormat="1">
      <c r="B1091" s="107"/>
    </row>
    <row r="1092" spans="2:2" s="105" customFormat="1">
      <c r="B1092" s="107"/>
    </row>
    <row r="1093" spans="2:2" s="105" customFormat="1">
      <c r="B1093" s="107"/>
    </row>
    <row r="1094" spans="2:2" s="105" customFormat="1">
      <c r="B1094" s="107"/>
    </row>
    <row r="1095" spans="2:2" s="105" customFormat="1">
      <c r="B1095" s="107"/>
    </row>
    <row r="1096" spans="2:2" s="105" customFormat="1">
      <c r="B1096" s="107"/>
    </row>
    <row r="1097" spans="2:2" s="105" customFormat="1">
      <c r="B1097" s="107"/>
    </row>
    <row r="1098" spans="2:2" s="105" customFormat="1">
      <c r="B1098" s="107"/>
    </row>
    <row r="1099" spans="2:2" s="105" customFormat="1">
      <c r="B1099" s="107"/>
    </row>
    <row r="1100" spans="2:2" s="105" customFormat="1">
      <c r="B1100" s="107"/>
    </row>
    <row r="1101" spans="2:2" s="105" customFormat="1">
      <c r="B1101" s="107"/>
    </row>
    <row r="1102" spans="2:2" s="105" customFormat="1">
      <c r="B1102" s="107"/>
    </row>
    <row r="1103" spans="2:2" s="105" customFormat="1">
      <c r="B1103" s="107"/>
    </row>
    <row r="1104" spans="2:2" s="105" customFormat="1">
      <c r="B1104" s="107"/>
    </row>
    <row r="1105" spans="2:2" s="105" customFormat="1">
      <c r="B1105" s="107"/>
    </row>
    <row r="1106" spans="2:2" s="105" customFormat="1">
      <c r="B1106" s="107"/>
    </row>
    <row r="1107" spans="2:2" s="105" customFormat="1">
      <c r="B1107" s="107"/>
    </row>
    <row r="1108" spans="2:2" s="105" customFormat="1">
      <c r="B1108" s="107"/>
    </row>
    <row r="1109" spans="2:2" s="105" customFormat="1">
      <c r="B1109" s="107"/>
    </row>
    <row r="1110" spans="2:2" s="105" customFormat="1">
      <c r="B1110" s="107"/>
    </row>
    <row r="1111" spans="2:2" s="105" customFormat="1">
      <c r="B1111" s="107"/>
    </row>
    <row r="1112" spans="2:2" s="105" customFormat="1">
      <c r="B1112" s="107"/>
    </row>
    <row r="1113" spans="2:2" s="105" customFormat="1">
      <c r="B1113" s="107"/>
    </row>
    <row r="1114" spans="2:2" s="105" customFormat="1">
      <c r="B1114" s="107"/>
    </row>
    <row r="1115" spans="2:2" s="105" customFormat="1">
      <c r="B1115" s="107"/>
    </row>
    <row r="1116" spans="2:2" s="105" customFormat="1">
      <c r="B1116" s="107"/>
    </row>
    <row r="1117" spans="2:2" s="105" customFormat="1">
      <c r="B1117" s="107"/>
    </row>
    <row r="1118" spans="2:2" s="105" customFormat="1">
      <c r="B1118" s="107"/>
    </row>
    <row r="1119" spans="2:2" s="105" customFormat="1">
      <c r="B1119" s="107"/>
    </row>
    <row r="1120" spans="2:2" s="105" customFormat="1">
      <c r="B1120" s="107"/>
    </row>
    <row r="1121" spans="2:2" s="105" customFormat="1">
      <c r="B1121" s="107"/>
    </row>
    <row r="1122" spans="2:2" s="105" customFormat="1">
      <c r="B1122" s="107"/>
    </row>
    <row r="1123" spans="2:2" s="105" customFormat="1">
      <c r="B1123" s="107"/>
    </row>
    <row r="1124" spans="2:2" s="105" customFormat="1">
      <c r="B1124" s="107"/>
    </row>
    <row r="1125" spans="2:2" s="105" customFormat="1">
      <c r="B1125" s="107"/>
    </row>
    <row r="1126" spans="2:2" s="105" customFormat="1">
      <c r="B1126" s="107"/>
    </row>
    <row r="1127" spans="2:2" s="105" customFormat="1">
      <c r="B1127" s="107"/>
    </row>
    <row r="1128" spans="2:2" s="105" customFormat="1">
      <c r="B1128" s="107"/>
    </row>
    <row r="1129" spans="2:2" s="105" customFormat="1">
      <c r="B1129" s="107"/>
    </row>
    <row r="1130" spans="2:2" s="105" customFormat="1">
      <c r="B1130" s="107"/>
    </row>
    <row r="1131" spans="2:2" s="105" customFormat="1">
      <c r="B1131" s="107"/>
    </row>
    <row r="1132" spans="2:2" s="105" customFormat="1">
      <c r="B1132" s="107"/>
    </row>
    <row r="1133" spans="2:2" s="105" customFormat="1">
      <c r="B1133" s="107"/>
    </row>
    <row r="1134" spans="2:2" s="105" customFormat="1">
      <c r="B1134" s="107"/>
    </row>
    <row r="1135" spans="2:2" s="105" customFormat="1">
      <c r="B1135" s="107"/>
    </row>
    <row r="1136" spans="2:2" s="105" customFormat="1">
      <c r="B1136" s="107"/>
    </row>
    <row r="1137" spans="2:2" s="105" customFormat="1">
      <c r="B1137" s="107"/>
    </row>
    <row r="1138" spans="2:2" s="105" customFormat="1">
      <c r="B1138" s="107"/>
    </row>
    <row r="1139" spans="2:2" s="105" customFormat="1">
      <c r="B1139" s="107"/>
    </row>
    <row r="1140" spans="2:2" s="105" customFormat="1">
      <c r="B1140" s="107"/>
    </row>
    <row r="1141" spans="2:2" s="105" customFormat="1">
      <c r="B1141" s="107"/>
    </row>
    <row r="1142" spans="2:2" s="105" customFormat="1">
      <c r="B1142" s="107"/>
    </row>
    <row r="1143" spans="2:2" s="105" customFormat="1">
      <c r="B1143" s="107"/>
    </row>
    <row r="1144" spans="2:2" s="105" customFormat="1">
      <c r="B1144" s="107"/>
    </row>
    <row r="1145" spans="2:2" s="105" customFormat="1">
      <c r="B1145" s="107"/>
    </row>
    <row r="1146" spans="2:2" s="105" customFormat="1">
      <c r="B1146" s="107"/>
    </row>
    <row r="1147" spans="2:2" s="105" customFormat="1">
      <c r="B1147" s="107"/>
    </row>
    <row r="1148" spans="2:2" s="105" customFormat="1">
      <c r="B1148" s="107"/>
    </row>
    <row r="1149" spans="2:2" s="105" customFormat="1">
      <c r="B1149" s="107"/>
    </row>
    <row r="1150" spans="2:2" s="105" customFormat="1">
      <c r="B1150" s="107"/>
    </row>
    <row r="1151" spans="2:2" s="105" customFormat="1">
      <c r="B1151" s="107"/>
    </row>
    <row r="1152" spans="2:2" s="105" customFormat="1">
      <c r="B1152" s="107"/>
    </row>
    <row r="1153" spans="2:2" s="105" customFormat="1">
      <c r="B1153" s="107"/>
    </row>
    <row r="1154" spans="2:2" s="105" customFormat="1">
      <c r="B1154" s="107"/>
    </row>
    <row r="1155" spans="2:2" s="105" customFormat="1">
      <c r="B1155" s="107"/>
    </row>
    <row r="1156" spans="2:2" s="105" customFormat="1">
      <c r="B1156" s="107"/>
    </row>
    <row r="1157" spans="2:2" s="105" customFormat="1">
      <c r="B1157" s="107"/>
    </row>
    <row r="1158" spans="2:2" s="105" customFormat="1">
      <c r="B1158" s="107"/>
    </row>
    <row r="1159" spans="2:2" s="105" customFormat="1">
      <c r="B1159" s="107"/>
    </row>
    <row r="1160" spans="2:2" s="105" customFormat="1">
      <c r="B1160" s="107"/>
    </row>
    <row r="1161" spans="2:2" s="105" customFormat="1">
      <c r="B1161" s="107"/>
    </row>
    <row r="1162" spans="2:2" s="105" customFormat="1">
      <c r="B1162" s="107"/>
    </row>
    <row r="1163" spans="2:2" s="105" customFormat="1">
      <c r="B1163" s="107"/>
    </row>
    <row r="1164" spans="2:2" s="105" customFormat="1">
      <c r="B1164" s="107"/>
    </row>
    <row r="1165" spans="2:2" s="105" customFormat="1">
      <c r="B1165" s="107"/>
    </row>
    <row r="1166" spans="2:2" s="105" customFormat="1">
      <c r="B1166" s="107"/>
    </row>
    <row r="1167" spans="2:2" s="105" customFormat="1">
      <c r="B1167" s="107"/>
    </row>
    <row r="1168" spans="2:2" s="105" customFormat="1">
      <c r="B1168" s="107"/>
    </row>
    <row r="1169" spans="2:2" s="105" customFormat="1">
      <c r="B1169" s="107"/>
    </row>
    <row r="1170" spans="2:2" s="105" customFormat="1">
      <c r="B1170" s="107"/>
    </row>
    <row r="1171" spans="2:2" s="105" customFormat="1">
      <c r="B1171" s="107"/>
    </row>
    <row r="1172" spans="2:2" s="105" customFormat="1">
      <c r="B1172" s="107"/>
    </row>
    <row r="1173" spans="2:2" s="105" customFormat="1">
      <c r="B1173" s="107"/>
    </row>
    <row r="1174" spans="2:2" s="105" customFormat="1">
      <c r="B1174" s="107"/>
    </row>
    <row r="1175" spans="2:2" s="105" customFormat="1">
      <c r="B1175" s="107"/>
    </row>
    <row r="1176" spans="2:2" s="105" customFormat="1">
      <c r="B1176" s="107"/>
    </row>
    <row r="1177" spans="2:2" s="105" customFormat="1">
      <c r="B1177" s="107"/>
    </row>
    <row r="1178" spans="2:2" s="105" customFormat="1">
      <c r="B1178" s="107"/>
    </row>
    <row r="1179" spans="2:2" s="105" customFormat="1">
      <c r="B1179" s="107"/>
    </row>
    <row r="1180" spans="2:2" s="105" customFormat="1">
      <c r="B1180" s="107"/>
    </row>
    <row r="1181" spans="2:2" s="105" customFormat="1">
      <c r="B1181" s="107"/>
    </row>
    <row r="1182" spans="2:2" s="105" customFormat="1">
      <c r="B1182" s="107"/>
    </row>
    <row r="1183" spans="2:2" s="105" customFormat="1">
      <c r="B1183" s="107"/>
    </row>
    <row r="1184" spans="2:2" s="105" customFormat="1">
      <c r="B1184" s="107"/>
    </row>
    <row r="1185" spans="2:2" s="105" customFormat="1">
      <c r="B1185" s="107"/>
    </row>
    <row r="1186" spans="2:2" s="105" customFormat="1">
      <c r="B1186" s="107"/>
    </row>
    <row r="1187" spans="2:2" s="105" customFormat="1">
      <c r="B1187" s="107"/>
    </row>
    <row r="1188" spans="2:2" s="105" customFormat="1">
      <c r="B1188" s="107"/>
    </row>
    <row r="1189" spans="2:2" s="105" customFormat="1">
      <c r="B1189" s="107"/>
    </row>
    <row r="1190" spans="2:2" s="105" customFormat="1">
      <c r="B1190" s="107"/>
    </row>
    <row r="1191" spans="2:2" s="105" customFormat="1">
      <c r="B1191" s="107"/>
    </row>
    <row r="1192" spans="2:2" s="105" customFormat="1">
      <c r="B1192" s="107"/>
    </row>
    <row r="1193" spans="2:2" s="105" customFormat="1">
      <c r="B1193" s="107"/>
    </row>
    <row r="1194" spans="2:2" s="105" customFormat="1">
      <c r="B1194" s="107"/>
    </row>
    <row r="1195" spans="2:2" s="105" customFormat="1">
      <c r="B1195" s="107"/>
    </row>
    <row r="1196" spans="2:2" s="105" customFormat="1">
      <c r="B1196" s="107"/>
    </row>
    <row r="1197" spans="2:2" s="105" customFormat="1">
      <c r="B1197" s="107"/>
    </row>
    <row r="1198" spans="2:2" s="105" customFormat="1">
      <c r="B1198" s="107"/>
    </row>
    <row r="1199" spans="2:2" s="105" customFormat="1">
      <c r="B1199" s="107"/>
    </row>
    <row r="1200" spans="2:2" s="105" customFormat="1">
      <c r="B1200" s="107"/>
    </row>
    <row r="1201" spans="2:2" s="105" customFormat="1">
      <c r="B1201" s="107"/>
    </row>
    <row r="1202" spans="2:2" s="105" customFormat="1">
      <c r="B1202" s="107"/>
    </row>
    <row r="1203" spans="2:2" s="105" customFormat="1">
      <c r="B1203" s="107"/>
    </row>
    <row r="1204" spans="2:2" s="105" customFormat="1">
      <c r="B1204" s="107"/>
    </row>
    <row r="1205" spans="2:2" s="105" customFormat="1">
      <c r="B1205" s="107"/>
    </row>
    <row r="1206" spans="2:2" s="105" customFormat="1">
      <c r="B1206" s="107"/>
    </row>
    <row r="1207" spans="2:2" s="105" customFormat="1">
      <c r="B1207" s="107"/>
    </row>
    <row r="1208" spans="2:2" s="105" customFormat="1">
      <c r="B1208" s="107"/>
    </row>
    <row r="1209" spans="2:2" s="105" customFormat="1">
      <c r="B1209" s="107"/>
    </row>
    <row r="1210" spans="2:2" s="105" customFormat="1">
      <c r="B1210" s="107"/>
    </row>
    <row r="1211" spans="2:2" s="105" customFormat="1">
      <c r="B1211" s="107"/>
    </row>
    <row r="1212" spans="2:2" s="105" customFormat="1">
      <c r="B1212" s="107"/>
    </row>
    <row r="1213" spans="2:2" s="105" customFormat="1">
      <c r="B1213" s="107"/>
    </row>
    <row r="1214" spans="2:2" s="105" customFormat="1">
      <c r="B1214" s="107"/>
    </row>
    <row r="1215" spans="2:2" s="105" customFormat="1">
      <c r="B1215" s="107"/>
    </row>
    <row r="1216" spans="2:2" s="105" customFormat="1">
      <c r="B1216" s="107"/>
    </row>
    <row r="1217" spans="2:12" s="105" customFormat="1">
      <c r="B1217" s="107"/>
    </row>
    <row r="1218" spans="2:12" s="105" customFormat="1">
      <c r="B1218" s="106"/>
      <c r="C1218" s="104"/>
      <c r="D1218" s="104"/>
      <c r="E1218" s="104"/>
      <c r="F1218" s="104"/>
      <c r="G1218" s="104"/>
      <c r="H1218" s="104"/>
      <c r="K1218" s="104"/>
      <c r="L1218" s="104"/>
    </row>
  </sheetData>
  <mergeCells count="14">
    <mergeCell ref="N3:P3"/>
    <mergeCell ref="B20:I21"/>
    <mergeCell ref="D23:E24"/>
    <mergeCell ref="I48:J48"/>
    <mergeCell ref="I51:J51"/>
    <mergeCell ref="I120:J120"/>
    <mergeCell ref="I123:J123"/>
    <mergeCell ref="D331:L332"/>
    <mergeCell ref="G223:H223"/>
    <mergeCell ref="G242:H242"/>
    <mergeCell ref="D275:J276"/>
    <mergeCell ref="D302:J302"/>
    <mergeCell ref="D304:J305"/>
    <mergeCell ref="D326:L327"/>
  </mergeCells>
  <printOptions horizontalCentered="1"/>
  <pageMargins left="0.25" right="0.25" top="1" bottom="1" header="0.65" footer="0.25"/>
  <pageSetup fitToHeight="0" orientation="portrait" horizontalDpi="1200" verticalDpi="1200" r:id="rId1"/>
  <headerFooter alignWithMargins="0">
    <oddHeader xml:space="preserve">&amp;R&amp;16AEPTCo - SPP Formula Rate
&amp;A - True-Up
Page: &amp;P of &amp;N
</oddHeader>
    <oddFooter>&amp;R &amp;C&amp;"Calibri,Regular"&amp;11&amp;B&amp;K000000AEP CONFIDENTIAL</oddFooter>
    <evenFooter>&amp;C&amp;"Calibri,Regular"&amp;11&amp;B&amp;K000000AEP CONFIDENTIAL</evenFooter>
    <firstFooter>&amp;C&amp;"Calibri,Regular"&amp;11&amp;B&amp;K000000AEP CONFIDENTIAL</firstFooter>
  </headerFooter>
  <rowBreaks count="4" manualBreakCount="4">
    <brk id="39" max="11" man="1"/>
    <brk id="112" max="11" man="1"/>
    <brk id="184" max="11" man="1"/>
    <brk id="249"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1f6a98d5-4e6a-406f-8258-3f07b61a1b98" value=""/>
  <element uid="c64218ab-b8d1-40b6-a478-cb8be1e10ecc" value=""/>
</sisl>
</file>

<file path=customXml/itemProps1.xml><?xml version="1.0" encoding="utf-8"?>
<ds:datastoreItem xmlns:ds="http://schemas.openxmlformats.org/officeDocument/2006/customXml" ds:itemID="{B90954B9-AFF6-4314-981F-43B2F3D0F31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39</vt:i4>
      </vt:variant>
    </vt:vector>
  </HeadingPairs>
  <TitlesOfParts>
    <vt:vector size="49" baseType="lpstr">
      <vt:lpstr>Refund By Load</vt:lpstr>
      <vt:lpstr>Refund Calculation</vt:lpstr>
      <vt:lpstr>Interest</vt:lpstr>
      <vt:lpstr>Prime Rate</vt:lpstr>
      <vt:lpstr>OKT 2013 True-Up TCOS</vt:lpstr>
      <vt:lpstr>OKT 2014 True-Up TCOS</vt:lpstr>
      <vt:lpstr>OKT 2015 True-Up TCOS</vt:lpstr>
      <vt:lpstr>OKT 2016 True-Up TCOS</vt:lpstr>
      <vt:lpstr>OKT 2017 True-Up TCOS - 11.2%</vt:lpstr>
      <vt:lpstr>OKT 2017 True-Up TCOS - 10.5%</vt:lpstr>
      <vt:lpstr>Avg_Annual_FERC_Rate</vt:lpstr>
      <vt:lpstr>'OKT 2013 True-Up TCOS'!IM_Allocators</vt:lpstr>
      <vt:lpstr>'OKT 2014 True-Up TCOS'!IM_Allocators</vt:lpstr>
      <vt:lpstr>'OKT 2015 True-Up TCOS'!IM_Allocators</vt:lpstr>
      <vt:lpstr>'OKT 2016 True-Up TCOS'!IM_Allocators</vt:lpstr>
      <vt:lpstr>'OKT 2017 True-Up TCOS - 10.5%'!IM_Allocators</vt:lpstr>
      <vt:lpstr>'OKT 2017 True-Up TCOS - 11.2%'!IM_Allocators</vt:lpstr>
      <vt:lpstr>'OKT 2013 True-Up TCOS'!NP_h</vt:lpstr>
      <vt:lpstr>'OKT 2014 True-Up TCOS'!NP_h</vt:lpstr>
      <vt:lpstr>'OKT 2015 True-Up TCOS'!NP_h</vt:lpstr>
      <vt:lpstr>'OKT 2016 True-Up TCOS'!NP_h</vt:lpstr>
      <vt:lpstr>'OKT 2017 True-Up TCOS - 10.5%'!NP_h</vt:lpstr>
      <vt:lpstr>'OKT 2017 True-Up TCOS - 11.2%'!NP_h</vt:lpstr>
      <vt:lpstr>'OKT 2013 True-Up TCOS'!NPh</vt:lpstr>
      <vt:lpstr>'OKT 2014 True-Up TCOS'!NPh</vt:lpstr>
      <vt:lpstr>'OKT 2015 True-Up TCOS'!NPh</vt:lpstr>
      <vt:lpstr>'OKT 2016 True-Up TCOS'!NPh</vt:lpstr>
      <vt:lpstr>'OKT 2017 True-Up TCOS - 10.5%'!NPh</vt:lpstr>
      <vt:lpstr>'OKT 2017 True-Up TCOS - 11.2%'!NPh</vt:lpstr>
      <vt:lpstr>'OKT 2013 True-Up TCOS'!Print_Area</vt:lpstr>
      <vt:lpstr>'OKT 2014 True-Up TCOS'!Print_Area</vt:lpstr>
      <vt:lpstr>'OKT 2015 True-Up TCOS'!Print_Area</vt:lpstr>
      <vt:lpstr>'OKT 2016 True-Up TCOS'!Print_Area</vt:lpstr>
      <vt:lpstr>'OKT 2017 True-Up TCOS - 10.5%'!Print_Area</vt:lpstr>
      <vt:lpstr>'OKT 2017 True-Up TCOS - 11.2%'!Print_Area</vt:lpstr>
      <vt:lpstr>'Refund By Load'!Print_Area</vt:lpstr>
      <vt:lpstr>'OKT 2014 True-Up TCOS'!PSO_TU_Allocators</vt:lpstr>
      <vt:lpstr>'OKT 2015 True-Up TCOS'!PSO_TU_Allocators</vt:lpstr>
      <vt:lpstr>'OKT 2016 True-Up TCOS'!PSO_TU_Allocators</vt:lpstr>
      <vt:lpstr>'OKT 2017 True-Up TCOS - 10.5%'!PSO_TU_Allocators</vt:lpstr>
      <vt:lpstr>'OKT 2017 True-Up TCOS - 11.2%'!PSO_TU_Allocators</vt:lpstr>
      <vt:lpstr>PSO_TU_Allocators</vt:lpstr>
      <vt:lpstr>'OKT 2013 True-Up TCOS'!PSOallocatorsH</vt:lpstr>
      <vt:lpstr>'OKT 2014 True-Up TCOS'!PSOallocatorsH</vt:lpstr>
      <vt:lpstr>'OKT 2015 True-Up TCOS'!PSOallocatorsH</vt:lpstr>
      <vt:lpstr>'OKT 2016 True-Up TCOS'!PSOallocatorsH</vt:lpstr>
      <vt:lpstr>'OKT 2017 True-Up TCOS - 10.5%'!PSOallocatorsH</vt:lpstr>
      <vt:lpstr>'OKT 2017 True-Up TCOS - 11.2%'!PSOallocatorsH</vt:lpstr>
      <vt:lpstr>tbl_QtrPrimRat</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s222426</dc:creator>
  <cp:keywords>AEP Confidential</cp:keywords>
  <cp:lastModifiedBy>s177040</cp:lastModifiedBy>
  <cp:lastPrinted>2018-07-23T12:10:29Z</cp:lastPrinted>
  <dcterms:created xsi:type="dcterms:W3CDTF">2018-05-14T20:31:36Z</dcterms:created>
  <dcterms:modified xsi:type="dcterms:W3CDTF">2019-05-28T13:19:44Z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03eb88dd-1604-4f32-91a6-3a5ce7549612</vt:lpwstr>
  </property>
  <property fmtid="{D5CDD505-2E9C-101B-9397-08002B2CF9AE}" pid="3" name="bjSaver">
    <vt:lpwstr>jn9/ZME9sh1yLuvGdHY/IIfDBp0pdt1U</vt:lpwstr>
  </property>
  <property fmtid="{D5CDD505-2E9C-101B-9397-08002B2CF9AE}" pid="4" name="bjDocumentSecurityLabel">
    <vt:lpwstr>AEP Confidential</vt:lpwstr>
  </property>
  <property fmtid="{D5CDD505-2E9C-101B-9397-08002B2CF9AE}" pid="5" name="bjCentreFooterLabel-even">
    <vt:lpwstr>&amp;"Calibri,Regular"&amp;11&amp;B&amp;K000000AEP CONFIDENTIAL</vt:lpwstr>
  </property>
  <property fmtid="{D5CDD505-2E9C-101B-9397-08002B2CF9AE}" pid="6"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7" name="bjDocumentLabelXML-0">
    <vt:lpwstr>ww.boldonjames.com/2008/01/sie/internal/label"&gt;&lt;element uid="1f6a98d5-4e6a-406f-8258-3f07b61a1b98" value="" /&gt;&lt;element uid="c64218ab-b8d1-40b6-a478-cb8be1e10ecc" value="" /&gt;&lt;/sisl&gt;</vt:lpwstr>
  </property>
  <property fmtid="{D5CDD505-2E9C-101B-9397-08002B2CF9AE}" pid="8" name="Visual Markings Removed">
    <vt:lpwstr>No</vt:lpwstr>
  </property>
  <property fmtid="{D5CDD505-2E9C-101B-9397-08002B2CF9AE}" pid="9" name="bjCentreFooterLabel-first">
    <vt:lpwstr>&amp;"Calibri,Regular"&amp;11&amp;B&amp;K000000AEP CONFIDENTIAL</vt:lpwstr>
  </property>
  <property fmtid="{D5CDD505-2E9C-101B-9397-08002B2CF9AE}" pid="10" name="bjCentreFooterLabel">
    <vt:lpwstr>&amp;"Calibri,Regular"&amp;11&amp;B&amp;K000000AEP CONFIDENTIAL</vt:lpwstr>
  </property>
</Properties>
</file>